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readedcomments/threadedcomment.xml" ContentType="application/vnd.ms-excel.threadedcomments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tables/table9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6efc07c0e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511fe6e788e64604"/>
    <x:sheet xmlns:r="http://schemas.openxmlformats.org/officeDocument/2006/relationships" name="Annual Values" sheetId="2" r:id="Rcaec3bfc92c945cd"/>
    <x:sheet xmlns:r="http://schemas.openxmlformats.org/officeDocument/2006/relationships" name="Indexed Growth" sheetId="3" r:id="R2b7fa0a5e0f74922"/>
    <x:sheet xmlns:r="http://schemas.openxmlformats.org/officeDocument/2006/relationships" name="Parity Gaps" sheetId="4" r:id="R5161aed75fb74d99"/>
    <x:sheet xmlns:r="http://schemas.openxmlformats.org/officeDocument/2006/relationships" name="GS Source" sheetId="5" r:id="R6e4c560741754189"/>
    <x:sheet xmlns:r="http://schemas.openxmlformats.org/officeDocument/2006/relationships" name="Military Detail" sheetId="6" r:id="Re80d208b58394869"/>
    <x:sheet xmlns:r="http://schemas.openxmlformats.org/officeDocument/2006/relationships" name="Private Wage" sheetId="7" r:id="R789b166a51a7410c"/>
    <x:sheet xmlns:r="http://schemas.openxmlformats.org/officeDocument/2006/relationships" name="Assumptions &amp; Sources" sheetId="8" r:id="R5c2d0a4f34d0449b"/>
    <x:sheet xmlns:r="http://schemas.openxmlformats.org/officeDocument/2006/relationships" name="QA Checks" sheetId="9" r:id="R6493f37c8f4f4343"/>
    <x:sheet xmlns:r="http://schemas.openxmlformats.org/officeDocument/2006/relationships" name="Chart Data" sheetId="10" r:id="Ra9ba7f73da5e4dfe"/>
    <x:sheet xmlns:r="http://schemas.openxmlformats.org/officeDocument/2006/relationships" name="Social Security" sheetId="11" r:id="Rd349e824b65c4eff"/>
  </x:sheets>
</x:workbook>
</file>

<file path=xl/comments1.xml><?xml version="1.0" encoding="utf-8"?>
<x:comments xmlns:x="http://schemas.openxmlformats.org/spreadsheetml/2006/main">
  <x:authors>
    <x:author>tc={5C70863A-D44E-3BDC-EC8E-CE0CBFB948F5}</x:author>
  </x:authors>
  <x:commentList>
    <x:comment ref="K4" authorId="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Editable federal marginal-rate sensitivity used to estimate the taxable-salary equivalent of tax-exempt BAH and BAS. It is not individualized tax advice.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0.0%"/>
    <x:numFmt numFmtId="201" formatCode="$#,##0"/>
    <x:numFmt numFmtId="202" formatCode="$#,##0.00"/>
    <x:numFmt numFmtId="203" formatCode="$0.00"/>
    <x:numFmt numFmtId="204" formatCode="#,##0"/>
    <x:numFmt numFmtId="205" formatCode="0.0"/>
    <x:numFmt numFmtId="206" formatCode="0.0000"/>
  </x:numFmts>
  <x:fonts count="45">
    <x:font>
      <x:sz val="11"/>
      <x:name val="Carlito"/>
    </x:font>
    <x:font>
      <x:b/>
      <x:sz val="18"/>
      <x:color rgb="FFFFFFFF"/>
      <x:name val="Carlito"/>
    </x:font>
    <x:font>
      <x:i/>
      <x:sz val="10"/>
      <x:color rgb="FF1F2937"/>
      <x:name val="Carlito"/>
    </x:font>
    <x:font>
      <x:b/>
      <x:sz val="9"/>
      <x:color rgb="FFFFFFFF"/>
      <x:name val="Carlito"/>
    </x:font>
    <x:font>
      <x:sz val="9"/>
      <x:color rgb="FF1F2937"/>
      <x:name val="Carlito"/>
    </x:font>
    <x:font>
      <x:b/>
      <x:sz val="9"/>
      <x:color rgb="FF1F2937"/>
      <x:name val="Carlito"/>
    </x:font>
    <x:font>
      <x:b/>
      <x:sz val="11"/>
      <x:color rgb="FFFFFFFF"/>
      <x:name val="Carlito"/>
    </x:font>
    <x:font>
      <x:sz val="9"/>
      <x:color rgb="FF0563C1"/>
      <x:name val="Carlito"/>
    </x:font>
    <x:font>
      <x:sz val="8"/>
      <x:color rgb="FF0563C1"/>
      <x:name val="Carlito"/>
    </x:font>
    <x:font>
      <x:b/>
      <x:sz val="9"/>
      <x:color rgb="FF1F4E78"/>
      <x:name val="Carlito"/>
    </x:font>
    <x:font>
      <x:b/>
      <x:sz val="10"/>
      <x:color rgb="FF1F2937"/>
      <x:name val="Carlito"/>
    </x:font>
    <x:font>
      <x:b/>
      <x:sz val="9"/>
      <x:color rgb="FF2F75B5"/>
      <x:name val="Carlito"/>
    </x:font>
    <x:font>
      <x:b/>
      <x:sz val="9"/>
      <x:color rgb="FF5B9BD5"/>
      <x:name val="Carlito"/>
    </x:font>
    <x:font>
      <x:b/>
      <x:sz val="9"/>
      <x:color rgb="FF4472C4"/>
      <x:name val="Carlito"/>
    </x:font>
    <x:font>
      <x:b/>
      <x:sz val="9"/>
      <x:color rgb="FF00A6D6"/>
      <x:name val="Carlito"/>
    </x:font>
    <x:font>
      <x:b/>
      <x:sz val="9"/>
      <x:color rgb="FF264478"/>
      <x:name val="Carlito"/>
    </x:font>
    <x:font>
      <x:b/>
      <x:sz val="9"/>
      <x:color rgb="FF8064A2"/>
      <x:name val="Carlito"/>
    </x:font>
    <x:font>
      <x:b/>
      <x:sz val="9"/>
      <x:color rgb="FF7F8FA6"/>
      <x:name val="Carlito"/>
    </x:font>
    <x:font>
      <x:b/>
      <x:sz val="9"/>
      <x:color rgb="FF4F81BD"/>
      <x:name val="Carlito"/>
    </x:font>
    <x:font>
      <x:b/>
      <x:sz val="9"/>
      <x:color rgb="FFED7D31"/>
      <x:name val="Carlito"/>
    </x:font>
    <x:font>
      <x:b/>
      <x:sz val="9"/>
      <x:color rgb="FFF4B183"/>
      <x:name val="Carlito"/>
    </x:font>
    <x:font>
      <x:b/>
      <x:sz val="9"/>
      <x:color rgb="FFC55A11"/>
      <x:name val="Carlito"/>
    </x:font>
    <x:font>
      <x:b/>
      <x:sz val="9"/>
      <x:color rgb="FFA61C00"/>
      <x:name val="Carlito"/>
    </x:font>
    <x:font>
      <x:b/>
      <x:sz val="9"/>
      <x:color rgb="FFA64D79"/>
      <x:name val="Carlito"/>
    </x:font>
    <x:font>
      <x:b/>
      <x:sz val="9"/>
      <x:color rgb="FF7030A0"/>
      <x:name val="Carlito"/>
    </x:font>
    <x:font>
      <x:b/>
      <x:sz val="9"/>
      <x:color rgb="FF548235"/>
      <x:name val="Carlito"/>
    </x:font>
    <x:font>
      <x:b/>
      <x:sz val="16"/>
      <x:color rgb="FF0B1F3A"/>
      <x:name val="Carlito"/>
    </x:font>
    <x:font>
      <x:b/>
      <x:sz val="10"/>
      <x:color rgb="FFFFFFFF"/>
      <x:name val="Carlito"/>
    </x:font>
    <x:font>
      <x:sz val="10"/>
      <x:color rgb="FF1F2937"/>
      <x:name val="Carlito"/>
    </x:font>
    <x:font>
      <x:i/>
      <x:sz val="9"/>
      <x:color rgb="FF1F2937"/>
      <x:name val="Carlito"/>
    </x:font>
    <x:font>
      <x:sz val="9"/>
      <x:color rgb="FF1F4E78"/>
      <x:name val="Carlito"/>
    </x:font>
    <x:font>
      <x:sz val="12"/>
      <x:color rgb="FF1F2D38"/>
      <x:name val="Carlito"/>
    </x:font>
    <x:font>
      <x:b/>
      <x:sz val="12"/>
      <x:color rgb="FF1F2D38"/>
      <x:name val="Carlito"/>
    </x:font>
    <x:font>
      <x:sz val="11"/>
      <x:color rgb="FF1F2D38"/>
      <x:name val="Carlito"/>
    </x:font>
    <x:font>
      <x:b/>
      <x:sz val="11"/>
      <x:color rgb="FF1F2D38"/>
      <x:name val="Carlito"/>
    </x:font>
    <x:font>
      <x:i/>
      <x:sz val="11"/>
      <x:color rgb="FF5E6B73"/>
      <x:name val="Carlito"/>
    </x:font>
    <x:font>
      <x:b/>
      <x:sz val="18"/>
      <x:color rgb="FFFFFFFF"/>
      <x:name val="Aptos"/>
    </x:font>
    <x:font>
      <x:sz val="12"/>
      <x:color rgb="FF1F2D38"/>
      <x:name val="Aptos"/>
    </x:font>
    <x:font>
      <x:sz val="11"/>
      <x:name val="Aptos"/>
    </x:font>
    <x:font>
      <x:b/>
      <x:sz val="12"/>
      <x:color rgb="FF1F2D38"/>
      <x:name val="Aptos"/>
    </x:font>
    <x:font>
      <x:b/>
      <x:sz val="11"/>
      <x:color rgb="FFFFFFFF"/>
      <x:name val="Aptos"/>
    </x:font>
    <x:font>
      <x:sz val="11"/>
      <x:color rgb="FF1F2D38"/>
      <x:name val="Aptos"/>
    </x:font>
    <x:font>
      <x:b/>
      <x:sz val="11"/>
      <x:color rgb="FF1F2D38"/>
      <x:name val="Aptos"/>
    </x:font>
    <x:font>
      <x:i/>
      <x:sz val="11"/>
      <x:color rgb="FF5E6B73"/>
      <x:name val="Aptos"/>
    </x:font>
    <x:font>
      <x:sz val="10"/>
      <x:color rgb="FF1F2D38"/>
      <x:name val="Carlito"/>
    </x:font>
  </x:fonts>
  <x:fills count="37">
    <x:fill>
      <x:patternFill patternType="none"/>
    </x:fill>
    <x:fill>
      <x:patternFill patternType="gray125"/>
    </x:fill>
    <x:fill>
      <x:patternFill patternType="solid">
        <x:fgColor rgb="FF0B1F3A"/>
      </x:patternFill>
    </x:fill>
    <x:fill>
      <x:patternFill patternType="solid">
        <x:fgColor rgb="FFD9EAF7"/>
      </x:patternFill>
    </x:fill>
    <x:fill>
      <x:patternFill patternType="solid">
        <x:fgColor rgb="FF1F4E78"/>
      </x:patternFill>
    </x:fill>
    <x:fill>
      <x:patternFill patternType="solid">
        <x:fgColor rgb="FFFFFFFF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E7E6E6"/>
      </x:patternFill>
    </x:fill>
    <x:fill>
      <x:patternFill patternType="solid">
        <x:fgColor rgb="FF7F8FA6"/>
      </x:patternFill>
    </x:fill>
    <x:fill>
      <x:patternFill patternType="solid">
        <x:fgColor rgb="FFF3F4F6"/>
      </x:patternFill>
    </x:fill>
    <x:fill>
      <x:patternFill patternType="solid">
        <x:fgColor rgb="FFDDEBF7"/>
      </x:patternFill>
    </x:fill>
    <x:fill>
      <x:patternFill patternType="solid">
        <x:fgColor rgb="FFFCE4D6"/>
      </x:patternFill>
    </x:fill>
    <x:fill>
      <x:patternFill patternType="solid">
        <x:fgColor rgb="FF17324D"/>
      </x:patternFill>
    </x:fill>
    <x:fill>
      <x:patternFill patternType="solid">
        <x:fgColor rgb="FFF7F3EA"/>
      </x:patternFill>
    </x:fill>
    <x:fill>
      <x:patternFill patternType="solid">
        <x:fgColor rgb="FFF6E5DA"/>
      </x:patternFill>
    </x:fill>
    <x:fill>
      <x:patternFill patternType="solid">
        <x:fgColor rgb="FF2E6885"/>
      </x:patternFill>
    </x:fill>
    <x:fill>
      <x:patternFill patternType="solid">
        <x:fgColor rgb="FFFFFFFF"/>
      </x:patternFill>
    </x:fill>
    <x:fill>
      <x:patternFill patternType="solid">
        <x:fgColor rgb="FFE7EEF3"/>
      </x:patternFill>
    </x:fill>
    <x:fill>
      <x:patternFill patternType="solid">
        <x:fgColor rgb="FFE1EFE7"/>
      </x:patternFill>
    </x:fill>
    <x:fill>
      <x:patternFill patternType="solid">
        <x:fgColor rgb="FFFFF1C7"/>
      </x:patternFill>
    </x:fill>
    <x:fill>
      <x:patternFill patternType="solid">
        <x:fgColor rgb="FF17324D"/>
      </x:patternFill>
    </x:fill>
    <x:fill>
      <x:patternFill patternType="solid">
        <x:fgColor rgb="FFF7F3EA"/>
      </x:patternFill>
    </x:fill>
    <x:fill>
      <x:patternFill patternType="solid">
        <x:fgColor rgb="FFF6E5DA"/>
      </x:patternFill>
    </x:fill>
    <x:fill>
      <x:patternFill patternType="solid">
        <x:fgColor rgb="FF2E6885"/>
      </x:patternFill>
    </x:fill>
    <x:fill>
      <x:patternFill patternType="solid">
        <x:fgColor rgb="FFFFFFFF"/>
      </x:patternFill>
    </x:fill>
    <x:fill>
      <x:patternFill patternType="solid">
        <x:fgColor rgb="FFE7EEF3"/>
      </x:patternFill>
    </x:fill>
    <x:fill>
      <x:patternFill patternType="solid">
        <x:fgColor rgb="FFE1EFE7"/>
      </x:patternFill>
    </x:fill>
    <x:fill>
      <x:patternFill patternType="solid">
        <x:fgColor rgb="FFFFF1C7"/>
      </x:patternFill>
    </x:fill>
    <x:fill>
      <x:patternFill patternType="solid">
        <x:fgColor rgb="FF17324D"/>
      </x:patternFill>
    </x:fill>
    <x:fill>
      <x:patternFill patternType="solid">
        <x:fgColor rgb="FFF7F3EA"/>
      </x:patternFill>
    </x:fill>
    <x:fill>
      <x:patternFill patternType="solid">
        <x:fgColor rgb="FFF6E5DA"/>
      </x:patternFill>
    </x:fill>
    <x:fill>
      <x:patternFill patternType="solid">
        <x:fgColor rgb="FF2E6885"/>
      </x:patternFill>
    </x:fill>
    <x:fill>
      <x:patternFill patternType="solid">
        <x:fgColor rgb="FFFFFFFF"/>
      </x:patternFill>
    </x:fill>
    <x:fill>
      <x:patternFill patternType="solid">
        <x:fgColor rgb="FFE7EEF3"/>
      </x:patternFill>
    </x:fill>
    <x:fill>
      <x:patternFill patternType="solid">
        <x:fgColor rgb="FFE1EFE7"/>
      </x:patternFill>
    </x:fill>
    <x:fill>
      <x:patternFill patternType="solid">
        <x:fgColor rgb="FFFFF1C7"/>
      </x:patternFill>
    </x:fill>
  </x:fills>
  <x:borders count="40">
    <x:border/>
    <x:border>
      <x:left style="thin">
        <x:color rgb="FFB8C2CC"/>
      </x:left>
      <x:right style="thin">
        <x:color rgb="FFB8C2CC"/>
      </x:right>
      <x:top style="thin">
        <x:color rgb="FFB8C2CC"/>
      </x:top>
      <x:bottom style="thin">
        <x:color rgb="FFB8C2CC"/>
      </x:bottom>
    </x:border>
    <x:border>
      <x:bottom style="thin">
        <x:color rgb="FFD9E1F2"/>
      </x:bottom>
    </x:border>
    <x:border>
      <x:top style="thin">
        <x:color rgb="FFD9E1F2"/>
      </x:top>
      <x:bottom style="thin">
        <x:color rgb="FFD9E1F2"/>
      </x:bottom>
    </x:border>
    <x:border>
      <x:left style="thin">
        <x:color rgb="FFC9B458"/>
      </x:left>
      <x:right style="thin">
        <x:color rgb="FFC9B458"/>
      </x:right>
      <x:top style="thin">
        <x:color rgb="FFC9B458"/>
      </x:top>
      <x:bottom style="thin">
        <x:color rgb="FFC9B458"/>
      </x:bottom>
    </x:border>
    <x:border>
      <x:left style="thin">
        <x:color rgb="FFB8C2CC"/>
      </x:left>
      <x:top style="thin">
        <x:color rgb="FFB8C2CC"/>
      </x:top>
    </x:border>
    <x:border>
      <x:right style="thin">
        <x:color rgb="FFB8C2CC"/>
      </x:right>
      <x:top style="thin">
        <x:color rgb="FFB8C2CC"/>
      </x:top>
    </x:border>
    <x:border>
      <x:left style="thin">
        <x:color rgb="FFB8C2CC"/>
      </x:left>
      <x:bottom style="thin">
        <x:color rgb="FFB8C2CC"/>
      </x:bottom>
    </x:border>
    <x:border>
      <x:right style="thin">
        <x:color rgb="FFB8C2CC"/>
      </x:right>
      <x:bottom style="thin">
        <x:color rgb="FFB8C2CC"/>
      </x:bottom>
    </x:border>
    <x:border>
      <x:top style="thin">
        <x:color rgb="FFB8C2CC"/>
      </x:top>
    </x:border>
    <x:border>
      <x:left style="thin">
        <x:color rgb="FFB8C2CC"/>
      </x:left>
    </x:border>
    <x:border>
      <x:right style="thin">
        <x:color rgb="FFB8C2CC"/>
      </x:right>
    </x:border>
    <x:border>
      <x:bottom style="thin">
        <x:color rgb="FFB8C2CC"/>
      </x:bottom>
    </x:border>
    <x:border>
      <x:left style="thin">
        <x:color rgb="FFED7D31"/>
      </x:left>
      <x:top style="thin">
        <x:color rgb="FFED7D31"/>
      </x:top>
    </x:border>
    <x:border>
      <x:top style="thin">
        <x:color rgb="FFED7D31"/>
      </x:top>
    </x:border>
    <x:border>
      <x:right style="thin">
        <x:color rgb="FFED7D31"/>
      </x:right>
      <x:top style="thin">
        <x:color rgb="FFED7D31"/>
      </x:top>
    </x:border>
    <x:border>
      <x:left style="thin">
        <x:color rgb="FFED7D31"/>
      </x:left>
      <x:bottom style="thin">
        <x:color rgb="FFED7D31"/>
      </x:bottom>
    </x:border>
    <x:border>
      <x:bottom style="thin">
        <x:color rgb="FFED7D31"/>
      </x:bottom>
    </x:border>
    <x:border>
      <x:right style="thin">
        <x:color rgb="FFED7D31"/>
      </x:right>
      <x:bottom style="thin">
        <x:color rgb="FFED7D31"/>
      </x:bottom>
    </x:border>
    <x:border>
      <x:left style="thin">
        <x:color rgb="FF0B1F3A"/>
      </x:left>
      <x:top style="thin">
        <x:color rgb="FF0B1F3A"/>
      </x:top>
      <x:bottom style="thin">
        <x:color rgb="FF0B1F3A"/>
      </x:bottom>
    </x:border>
    <x:border>
      <x:top style="thin">
        <x:color rgb="FF0B1F3A"/>
      </x:top>
      <x:bottom style="thin">
        <x:color rgb="FF0B1F3A"/>
      </x:bottom>
    </x:border>
    <x:border>
      <x:right style="thin">
        <x:color rgb="FF0B1F3A"/>
      </x:right>
      <x:top style="thin">
        <x:color rgb="FF0B1F3A"/>
      </x:top>
      <x:bottom style="thin">
        <x:color rgb="FF0B1F3A"/>
      </x:bottom>
    </x:border>
    <x:border>
      <x:left style="thin">
        <x:color rgb="FFC26A3A"/>
      </x:left>
      <x:top style="thin">
        <x:color rgb="FFC26A3A"/>
      </x:top>
      <x:bottom style="thin">
        <x:color rgb="FFC26A3A"/>
      </x:bottom>
    </x:border>
    <x:border>
      <x:top style="thin">
        <x:color rgb="FFC26A3A"/>
      </x:top>
      <x:bottom style="thin">
        <x:color rgb="FFC26A3A"/>
      </x:bottom>
    </x:border>
    <x:border>
      <x:right style="thin">
        <x:color rgb="FFC26A3A"/>
      </x:right>
      <x:top style="thin">
        <x:color rgb="FFC26A3A"/>
      </x:top>
      <x:bottom style="thin">
        <x:color rgb="FFC26A3A"/>
      </x:bottom>
    </x:border>
    <x:border>
      <x:left style="thin">
        <x:color rgb="FFCCD6DD"/>
      </x:left>
      <x:right style="thin">
        <x:color rgb="FFCCD6DD"/>
      </x:right>
      <x:top style="thin">
        <x:color rgb="FFCCD6DD"/>
      </x:top>
      <x:bottom style="thin">
        <x:color rgb="FFCCD6DD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right style="thin">
        <x:color rgb="FFE3E8EB"/>
      </x:right>
      <x:bottom style="thin">
        <x:color rgb="FFE3E8EB"/>
      </x:bottom>
    </x:border>
    <x:border>
      <x:left style="thin">
        <x:color rgb="FFE3E8EB"/>
      </x:left>
      <x:right style="thin">
        <x:color rgb="FFE3E8EB"/>
      </x:right>
      <x:bottom style="thin">
        <x:color rgb="FFE3E8EB"/>
      </x:bottom>
    </x:border>
    <x:border>
      <x:left style="thin">
        <x:color rgb="FFE3E8EB"/>
      </x:left>
      <x:bottom style="thin">
        <x:color rgb="FFE3E8EB"/>
      </x:bottom>
    </x:border>
    <x:border>
      <x:right style="thin">
        <x:color rgb="FFE3E8EB"/>
      </x:right>
      <x:top style="thin">
        <x:color rgb="FFE3E8EB"/>
      </x:top>
      <x:bottom style="thin">
        <x:color rgb="FFE3E8EB"/>
      </x:bottom>
    </x:border>
    <x:border>
      <x:left style="thin">
        <x:color rgb="FFE3E8EB"/>
      </x:left>
      <x:right style="thin">
        <x:color rgb="FFE3E8EB"/>
      </x:right>
      <x:top style="thin">
        <x:color rgb="FFE3E8EB"/>
      </x:top>
      <x:bottom style="thin">
        <x:color rgb="FFE3E8EB"/>
      </x:bottom>
    </x:border>
    <x:border>
      <x:left style="thin">
        <x:color rgb="FFE3E8EB"/>
      </x:left>
      <x:top style="thin">
        <x:color rgb="FFE3E8EB"/>
      </x:top>
      <x:bottom style="thin">
        <x:color rgb="FFE3E8EB"/>
      </x:bottom>
    </x:border>
    <x:border>
      <x:right style="thin">
        <x:color rgb="FFE3E8EB"/>
      </x:right>
      <x:top style="thin">
        <x:color rgb="FFE3E8EB"/>
      </x:top>
      <x:bottom style="thin">
        <x:color rgb="FFCCD6DD"/>
      </x:bottom>
    </x:border>
    <x:border>
      <x:left style="thin">
        <x:color rgb="FFE3E8EB"/>
      </x:left>
      <x:right style="thin">
        <x:color rgb="FFE3E8EB"/>
      </x:right>
      <x:top style="thin">
        <x:color rgb="FFE3E8EB"/>
      </x:top>
      <x:bottom style="thin">
        <x:color rgb="FFCCD6DD"/>
      </x:bottom>
    </x:border>
    <x:border>
      <x:left style="thin">
        <x:color rgb="FFE3E8EB"/>
      </x:left>
      <x:top style="thin">
        <x:color rgb="FFE3E8EB"/>
      </x:top>
      <x:bottom style="thin">
        <x:color rgb="FFCCD6DD"/>
      </x:bottom>
    </x:border>
    <x:border>
      <x:left style="thin">
        <x:color rgb="FFD8B75A"/>
      </x:left>
      <x:right style="thin">
        <x:color rgb="FFD8B75A"/>
      </x:right>
      <x:top style="thin">
        <x:color rgb="FFD8B75A"/>
      </x:top>
      <x:bottom style="thin">
        <x:color rgb="FFD8B75A"/>
      </x:bottom>
    </x:border>
    <x:border>
      <x:left style="thin">
        <x:color rgb="FFCCD6DD"/>
      </x:left>
      <x:top style="thin">
        <x:color rgb="FFCCD6DD"/>
      </x:top>
      <x:bottom style="thin">
        <x:color rgb="FFCCD6DD"/>
      </x:bottom>
    </x:border>
    <x:border>
      <x:top style="thin">
        <x:color rgb="FFCCD6DD"/>
      </x:top>
      <x:bottom style="thin">
        <x:color rgb="FFCCD6DD"/>
      </x:bottom>
    </x:border>
    <x:border>
      <x:right style="thin">
        <x:color rgb="FFCCD6DD"/>
      </x:right>
      <x:top style="thin">
        <x:color rgb="FFCCD6DD"/>
      </x:top>
      <x:bottom style="thin">
        <x:color rgb="FFCCD6DD"/>
      </x:bottom>
    </x:border>
  </x:borders>
  <x:cellStyleXfs count="1">
    <x:xf numFmtId="0" fontId="0" fillId="0" borderId="0"/>
  </x:cellStyleXfs>
  <x:cellXfs count="506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2" xfId="0" applyNumberFormat="1" applyFont="1" applyFill="1" applyBorder="1"/>
    <x:xf numFmtId="0" fontId="4" fillId="5" borderId="3" xfId="0" applyNumberFormat="1" applyFont="1" applyFill="1" applyBorder="1"/>
    <x:xf numFmtId="0" fontId="4" fillId="5" borderId="2" xfId="0" applyNumberFormat="1" applyFont="1" applyFill="1" applyBorder="1" applyAlignment="1">
      <x:alignment vertical="center"/>
    </x:xf>
    <x:xf numFmtId="0" fontId="4" fillId="5" borderId="3" xfId="0" applyNumberFormat="1" applyFont="1" applyFill="1" applyBorder="1" applyAlignment="1">
      <x:alignment vertical="center"/>
    </x:xf>
    <x:xf numFmtId="0" fontId="4" fillId="6" borderId="2" xfId="0" applyNumberFormat="1" applyFont="1" applyFill="1" applyBorder="1" applyAlignment="1">
      <x:alignment vertical="center"/>
    </x:xf>
    <x:xf numFmtId="0" fontId="4" fillId="6" borderId="3" xfId="0" applyNumberFormat="1" applyFont="1" applyFill="1" applyBorder="1" applyAlignment="1">
      <x:alignment vertical="center"/>
    </x:xf>
    <x:xf numFmtId="200" fontId="4" fillId="6" borderId="3" xfId="0" applyNumberFormat="1" applyFont="1" applyFill="1" applyBorder="1" applyAlignment="1">
      <x:alignment vertical="center"/>
    </x:xf>
    <x:xf numFmtId="0" fontId="5" fillId="5" borderId="2" xfId="0" applyNumberFormat="1" applyFont="1" applyFill="1" applyBorder="1" applyAlignment="1">
      <x:alignment vertical="center"/>
    </x:xf>
    <x:xf numFmtId="0" fontId="5" fillId="5" borderId="3" xfId="0" applyNumberFormat="1" applyFont="1" applyFill="1" applyBorder="1" applyAlignment="1">
      <x:alignment vertical="center"/>
    </x:xf>
    <x:xf numFmtId="0" fontId="5" fillId="5" borderId="2" xfId="0" applyNumberFormat="1" applyFont="1" applyFill="1" applyBorder="1" applyAlignment="1">
      <x:alignment vertical="center" wrapText="1"/>
    </x:xf>
    <x:xf numFmtId="0" fontId="4" fillId="6" borderId="2" xfId="0" applyNumberFormat="1" applyFont="1" applyFill="1" applyBorder="1" applyAlignment="1">
      <x:alignment vertical="center" wrapText="1"/>
    </x:xf>
    <x:xf numFmtId="0" fontId="4" fillId="5" borderId="2" xfId="0" applyNumberFormat="1" applyFont="1" applyFill="1" applyBorder="1" applyAlignment="1">
      <x:alignment vertical="center" wrapText="1"/>
    </x:xf>
    <x:xf numFmtId="0" fontId="5" fillId="5" borderId="3" xfId="0" applyNumberFormat="1" applyFont="1" applyFill="1" applyBorder="1" applyAlignment="1">
      <x:alignment vertical="center" wrapText="1"/>
    </x:xf>
    <x:xf numFmtId="0" fontId="4" fillId="6" borderId="3" xfId="0" applyNumberFormat="1" applyFont="1" applyFill="1" applyBorder="1" applyAlignment="1">
      <x:alignment vertical="center" wrapText="1"/>
    </x:xf>
    <x:xf numFmtId="0" fontId="4" fillId="5" borderId="3" xfId="0" applyNumberFormat="1" applyFont="1" applyFill="1" applyBorder="1" applyAlignment="1">
      <x:alignment vertical="center" wrapText="1"/>
    </x:xf>
    <x:xf numFmtId="200" fontId="4" fillId="6" borderId="3" xfId="0" applyNumberFormat="1" applyFont="1" applyFill="1" applyBorder="1" applyAlignment="1">
      <x:alignment vertical="center" wrapText="1"/>
    </x:xf>
    <x:xf numFmtId="0" fontId="6" fillId="4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horizont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7" fillId="5" borderId="2" xfId="0" applyNumberFormat="1" applyFont="1" applyFill="1" applyBorder="1" applyAlignment="1">
      <x:alignment vertical="center" wrapText="1"/>
    </x:xf>
    <x:xf numFmtId="0" fontId="7" fillId="5" borderId="3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2" xfId="0" applyNumberFormat="1" applyFont="1" applyFill="1" applyBorder="1"/>
    <x:xf numFmtId="0" fontId="4" fillId="7" borderId="3" xfId="0" applyNumberFormat="1" applyFont="1" applyFill="1" applyBorder="1"/>
    <x:xf numFmtId="0" fontId="4" fillId="7" borderId="2" xfId="0" applyNumberFormat="1" applyFont="1" applyFill="1" applyBorder="1" applyAlignment="1">
      <x:alignment vertical="center"/>
    </x:xf>
    <x:xf numFmtId="0" fontId="4" fillId="7" borderId="3" xfId="0" applyNumberFormat="1" applyFont="1" applyFill="1" applyBorder="1" applyAlignment="1">
      <x:alignment vertical="center"/>
    </x:xf>
    <x:xf numFmtId="0" fontId="4" fillId="7" borderId="2" xfId="0" applyNumberFormat="1" applyFont="1" applyFill="1" applyBorder="1" applyAlignment="1">
      <x:alignment vertical="center" wrapText="1"/>
    </x:xf>
    <x:xf numFmtId="0" fontId="4" fillId="7" borderId="3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5" fillId="8" borderId="0" xfId="0" applyNumberFormat="1" applyFont="1" applyFill="1" applyBorder="1"/>
    <x:xf numFmtId="0" fontId="0" fillId="9" borderId="0" xfId="0" applyNumberFormat="1" applyFont="1" applyFill="1" applyBorder="1"/>
    <x:xf numFmtId="0" fontId="3" fillId="9" borderId="0" xfId="0" applyNumberFormat="1" applyFont="1" applyFill="1" applyBorder="1"/>
    <x:xf numFmtId="0" fontId="3" fillId="9" borderId="1" xfId="0" applyNumberFormat="1" applyFont="1" applyFill="1" applyBorder="1"/>
    <x:xf numFmtId="0" fontId="3" fillId="9" borderId="1" xfId="0" applyNumberFormat="1" applyFont="1" applyFill="1" applyBorder="1" applyAlignment="1">
      <x:alignment wrapText="1"/>
    </x:xf>
    <x:xf numFmtId="0" fontId="3" fillId="9" borderId="1" xfId="0" applyNumberFormat="1" applyFont="1" applyFill="1" applyBorder="1" applyAlignment="1">
      <x:alignment horizontal="center" wrapText="1"/>
    </x:xf>
    <x:xf numFmtId="0" fontId="3" fillId="9" borderId="1" xfId="0" applyNumberFormat="1" applyFont="1" applyFill="1" applyBorder="1" applyAlignment="1">
      <x:alignment horizontal="center" vertical="center" wrapText="1"/>
    </x:xf>
    <x:xf numFmtId="0" fontId="0" fillId="10" borderId="0" xfId="0" applyNumberFormat="1" applyFont="1" applyFill="1" applyBorder="1"/>
    <x:xf numFmtId="0" fontId="4" fillId="10" borderId="0" xfId="0" applyNumberFormat="1" applyFont="1" applyFill="1" applyBorder="1"/>
    <x:xf numFmtId="0" fontId="4" fillId="10" borderId="2" xfId="0" applyNumberFormat="1" applyFont="1" applyFill="1" applyBorder="1"/>
    <x:xf numFmtId="0" fontId="4" fillId="10" borderId="3" xfId="0" applyNumberFormat="1" applyFont="1" applyFill="1" applyBorder="1"/>
    <x:xf numFmtId="0" fontId="4" fillId="10" borderId="2" xfId="0" applyNumberFormat="1" applyFont="1" applyFill="1" applyBorder="1" applyAlignment="1">
      <x:alignment vertical="center"/>
    </x:xf>
    <x:xf numFmtId="0" fontId="4" fillId="10" borderId="3" xfId="0" applyNumberFormat="1" applyFont="1" applyFill="1" applyBorder="1" applyAlignment="1">
      <x:alignment vertical="center"/>
    </x:xf>
    <x:xf numFmtId="0" fontId="4" fillId="11" borderId="2" xfId="0" applyNumberFormat="1" applyFont="1" applyFill="1" applyBorder="1" applyAlignment="1">
      <x:alignment vertical="center"/>
    </x:xf>
    <x:xf numFmtId="0" fontId="4" fillId="11" borderId="3" xfId="0" applyNumberFormat="1" applyFont="1" applyFill="1" applyBorder="1" applyAlignment="1">
      <x:alignment vertical="center"/>
    </x:xf>
    <x:xf numFmtId="201" fontId="4" fillId="11" borderId="2" xfId="0" applyNumberFormat="1" applyFont="1" applyFill="1" applyBorder="1" applyAlignment="1">
      <x:alignment vertical="center"/>
    </x:xf>
    <x:xf numFmtId="201" fontId="4" fillId="11" borderId="3" xfId="0" applyNumberFormat="1" applyFont="1" applyFill="1" applyBorder="1" applyAlignment="1">
      <x:alignment vertical="center"/>
    </x:xf>
    <x:xf numFmtId="201" fontId="4" fillId="7" borderId="2" xfId="0" applyNumberFormat="1" applyFont="1" applyFill="1" applyBorder="1" applyAlignment="1">
      <x:alignment vertical="center"/>
    </x:xf>
    <x:xf numFmtId="201" fontId="4" fillId="7" borderId="3" xfId="0" applyNumberFormat="1" applyFont="1" applyFill="1" applyBorder="1" applyAlignment="1">
      <x:alignment vertical="center"/>
    </x:xf>
    <x:xf numFmtId="200" fontId="4" fillId="5" borderId="2" xfId="0" applyNumberFormat="1" applyFont="1" applyFill="1" applyBorder="1" applyAlignment="1">
      <x:alignment vertical="center"/>
    </x:xf>
    <x:xf numFmtId="200" fontId="4" fillId="5" borderId="3" xfId="0" applyNumberFormat="1" applyFont="1" applyFill="1" applyBorder="1" applyAlignment="1">
      <x:alignment vertical="center"/>
    </x:xf>
    <x:xf numFmtId="0" fontId="4" fillId="12" borderId="3" xfId="0" applyNumberFormat="1" applyFont="1" applyFill="1" applyBorder="1" applyAlignment="1">
      <x:alignment vertical="center"/>
    </x:xf>
    <x:xf numFmtId="200" fontId="4" fillId="12" borderId="3" xfId="0" applyNumberFormat="1" applyFont="1" applyFill="1" applyBorder="1" applyAlignment="1">
      <x:alignment vertical="center"/>
    </x:xf>
    <x:xf numFmtId="201" fontId="4" fillId="12" borderId="3" xfId="0" applyNumberFormat="1" applyFont="1" applyFill="1" applyBorder="1" applyAlignment="1">
      <x:alignment vertical="center"/>
    </x:xf>
    <x:xf numFmtId="0" fontId="8" fillId="5" borderId="2" xfId="0" applyNumberFormat="1" applyFont="1" applyFill="1" applyBorder="1" applyAlignment="1">
      <x:alignment vertical="center"/>
    </x:xf>
    <x:xf numFmtId="0" fontId="8" fillId="5" borderId="3" xfId="0" applyNumberFormat="1" applyFont="1" applyFill="1" applyBorder="1" applyAlignment="1">
      <x:alignment vertical="center"/>
    </x:xf>
    <x:xf numFmtId="0" fontId="8" fillId="5" borderId="2" xfId="0" applyNumberFormat="1" applyFont="1" applyFill="1" applyBorder="1" applyAlignment="1">
      <x:alignment vertical="center" wrapText="1"/>
    </x:xf>
    <x:xf numFmtId="0" fontId="8" fillId="5" borderId="3" xfId="0" applyNumberFormat="1" applyFont="1" applyFill="1" applyBorder="1" applyAlignment="1">
      <x:alignment vertical="center" wrapText="1"/>
    </x:xf>
    <x:xf numFmtId="202" fontId="4" fillId="11" borderId="2" xfId="0" applyNumberFormat="1" applyFont="1" applyFill="1" applyBorder="1" applyAlignment="1">
      <x:alignment vertical="center"/>
    </x:xf>
    <x:xf numFmtId="202" fontId="4" fillId="7" borderId="2" xfId="0" applyNumberFormat="1" applyFont="1" applyFill="1" applyBorder="1" applyAlignment="1">
      <x:alignment vertical="center"/>
    </x:xf>
    <x:xf numFmtId="202" fontId="4" fillId="11" borderId="3" xfId="0" applyNumberFormat="1" applyFont="1" applyFill="1" applyBorder="1" applyAlignment="1">
      <x:alignment vertical="center"/>
    </x:xf>
    <x:xf numFmtId="202" fontId="4" fillId="7" borderId="3" xfId="0" applyNumberFormat="1" applyFont="1" applyFill="1" applyBorder="1" applyAlignment="1">
      <x:alignment vertical="center"/>
    </x:xf>
    <x:xf numFmtId="202" fontId="4" fillId="12" borderId="3" xfId="0" applyNumberFormat="1" applyFont="1" applyFill="1" applyBorder="1" applyAlignment="1">
      <x:alignment vertical="center"/>
    </x:xf>
    <x:xf numFmtId="0" fontId="4" fillId="12" borderId="3" xfId="0" applyNumberFormat="1" applyFont="1" applyFill="1" applyBorder="1" applyAlignment="1">
      <x:alignment vertical="center" wrapText="1"/>
    </x:xf>
    <x:xf numFmtId="0" fontId="8" fillId="12" borderId="3" xfId="0" applyNumberFormat="1" applyFont="1" applyFill="1" applyBorder="1" applyAlignment="1">
      <x:alignment vertical="center" wrapText="1"/>
    </x:xf>
    <x:xf numFmtId="203" fontId="4" fillId="11" borderId="2" xfId="0" applyNumberFormat="1" applyFont="1" applyFill="1" applyBorder="1" applyAlignment="1">
      <x:alignment vertical="center"/>
    </x:xf>
    <x:xf numFmtId="203" fontId="4" fillId="11" borderId="3" xfId="0" applyNumberFormat="1" applyFont="1" applyFill="1" applyBorder="1" applyAlignment="1">
      <x:alignment vertical="center"/>
    </x:xf>
    <x:xf numFmtId="204" fontId="4" fillId="7" borderId="2" xfId="0" applyNumberFormat="1" applyFont="1" applyFill="1" applyBorder="1" applyAlignment="1">
      <x:alignment vertical="center"/>
    </x:xf>
    <x:xf numFmtId="204" fontId="4" fillId="7" borderId="3" xfId="0" applyNumberFormat="1" applyFont="1" applyFill="1" applyBorder="1" applyAlignment="1">
      <x:alignment vertical="center"/>
    </x:xf>
    <x:xf numFmtId="203" fontId="4" fillId="12" borderId="3" xfId="0" applyNumberFormat="1" applyFont="1" applyFill="1" applyBorder="1" applyAlignment="1">
      <x:alignment vertical="center"/>
    </x:xf>
    <x:xf numFmtId="204" fontId="4" fillId="12" borderId="3" xfId="0" applyNumberFormat="1" applyFont="1" applyFill="1" applyBorder="1" applyAlignment="1">
      <x:alignment vertical="center"/>
    </x:xf>
    <x:xf numFmtId="205" fontId="4" fillId="7" borderId="2" xfId="0" applyNumberFormat="1" applyFont="1" applyFill="1" applyBorder="1" applyAlignment="1">
      <x:alignment vertical="center"/>
    </x:xf>
    <x:xf numFmtId="205" fontId="4" fillId="7" borderId="3" xfId="0" applyNumberFormat="1" applyFont="1" applyFill="1" applyBorder="1" applyAlignment="1">
      <x:alignment vertical="center"/>
    </x:xf>
    <x:xf numFmtId="205" fontId="4" fillId="12" borderId="3" xfId="0" applyNumberFormat="1" applyFont="1" applyFill="1" applyBorder="1" applyAlignment="1">
      <x:alignment vertical="center"/>
    </x:xf>
    <x:xf numFmtId="200" fontId="4" fillId="7" borderId="2" xfId="0" applyNumberFormat="1" applyFont="1" applyFill="1" applyBorder="1" applyAlignment="1">
      <x:alignment vertical="center"/>
    </x:xf>
    <x:xf numFmtId="200" fontId="4" fillId="7" borderId="3" xfId="0" applyNumberFormat="1" applyFont="1" applyFill="1" applyBorder="1" applyAlignment="1">
      <x:alignment vertical="center"/>
    </x:xf>
    <x:xf numFmtId="200" fontId="4" fillId="3" borderId="2" xfId="0" applyNumberFormat="1" applyFont="1" applyFill="1" applyBorder="1" applyAlignment="1">
      <x:alignment vertical="center"/>
    </x:xf>
    <x:xf numFmtId="200" fontId="4" fillId="3" borderId="3" xfId="0" applyNumberFormat="1" applyFont="1" applyFill="1" applyBorder="1" applyAlignment="1">
      <x:alignment vertical="center"/>
    </x:xf>
    <x:xf numFmtId="200" fontId="9" fillId="3" borderId="2" xfId="0" applyNumberFormat="1" applyFont="1" applyFill="1" applyBorder="1" applyAlignment="1">
      <x:alignment vertical="center"/>
    </x:xf>
    <x:xf numFmtId="200" fontId="9" fillId="3" borderId="3" xfId="0" applyNumberFormat="1" applyFont="1" applyFill="1" applyBorder="1" applyAlignment="1">
      <x:alignment vertical="center"/>
    </x:xf>
    <x:xf numFmtId="200" fontId="9" fillId="12" borderId="3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4" xfId="0" applyNumberFormat="1" applyFont="1" applyFill="1" applyBorder="1"/>
    <x:xf numFmtId="0" fontId="10" fillId="6" borderId="4" xfId="0" applyNumberFormat="1" applyFont="1" applyFill="1" applyBorder="1" applyAlignment="1">
      <x:alignment vertical="center"/>
    </x:xf>
    <x:xf numFmtId="200" fontId="10" fillId="6" borderId="4" xfId="0" applyNumberFormat="1" applyFont="1" applyFill="1" applyBorder="1" applyAlignment="1">
      <x:alignment vertical="center"/>
    </x:xf>
    <x:xf numFmtId="0" fontId="10" fillId="6" borderId="2" xfId="0" applyNumberFormat="1" applyFont="1" applyFill="1" applyBorder="1" applyAlignment="1">
      <x:alignment vertical="center"/>
    </x:xf>
    <x:xf numFmtId="0" fontId="10" fillId="6" borderId="3" xfId="0" applyNumberFormat="1" applyFont="1" applyFill="1" applyBorder="1" applyAlignment="1">
      <x:alignment vertical="center"/>
    </x:xf>
    <x:xf numFmtId="0" fontId="10" fillId="6" borderId="1" xfId="0" applyNumberFormat="1" applyFont="1" applyFill="1" applyBorder="1" applyAlignment="1">
      <x:alignment vertical="center"/>
    </x:xf>
    <x:xf numFmtId="0" fontId="10" fillId="6" borderId="1" xfId="0" applyNumberFormat="1" applyFont="1" applyFill="1" applyBorder="1" applyAlignment="1">
      <x:alignment horizontal="center" vertical="center"/>
    </x:xf>
    <x:xf numFmtId="0" fontId="4" fillId="3" borderId="2" xfId="0" applyNumberFormat="1" applyFont="1" applyFill="1" applyBorder="1" applyAlignment="1">
      <x:alignment vertical="center"/>
    </x:xf>
    <x:xf numFmtId="0" fontId="10" fillId="3" borderId="1" xfId="0" applyNumberFormat="1" applyFont="1" applyFill="1" applyBorder="1" applyAlignment="1">
      <x:alignment horizontal="center" vertical="center"/>
    </x:xf>
    <x:xf numFmtId="0" fontId="4" fillId="3" borderId="3" xfId="0" applyNumberFormat="1" applyFont="1" applyFill="1" applyBorder="1" applyAlignment="1">
      <x:alignment vertical="center"/>
    </x:xf>
    <x:xf numFmtId="0" fontId="10" fillId="12" borderId="1" xfId="0" applyNumberFormat="1" applyFont="1" applyFill="1" applyBorder="1" applyAlignment="1">
      <x:alignment horizontal="center" vertical="center"/>
    </x:xf>
    <x:xf numFmtId="0" fontId="10" fillId="7" borderId="1" xfId="0" applyNumberFormat="1" applyFont="1" applyFill="1" applyBorder="1" applyAlignment="1">
      <x:alignment horizontal="center" vertical="center"/>
    </x:xf>
    <x:xf numFmtId="0" fontId="4" fillId="3" borderId="2" xfId="0" applyNumberFormat="1" applyFont="1" applyFill="1" applyBorder="1" applyAlignment="1">
      <x:alignment vertical="center" wrapText="1"/>
    </x:xf>
    <x:xf numFmtId="0" fontId="4" fillId="3" borderId="3" xfId="0" applyNumberFormat="1" applyFont="1" applyFill="1" applyBorder="1" applyAlignment="1">
      <x:alignment vertical="center" wrapText="1"/>
    </x:xf>
    <x:xf numFmtId="0" fontId="9" fillId="5" borderId="2" xfId="0" applyNumberFormat="1" applyFont="1" applyFill="1" applyBorder="1" applyAlignment="1">
      <x:alignment vertical="center"/>
    </x:xf>
    <x:xf numFmtId="0" fontId="11" fillId="5" borderId="3" xfId="0" applyNumberFormat="1" applyFont="1" applyFill="1" applyBorder="1" applyAlignment="1">
      <x:alignment vertical="center"/>
    </x:xf>
    <x:xf numFmtId="0" fontId="12" fillId="5" borderId="3" xfId="0" applyNumberFormat="1" applyFont="1" applyFill="1" applyBorder="1" applyAlignment="1">
      <x:alignment vertical="center"/>
    </x:xf>
    <x:xf numFmtId="0" fontId="13" fillId="5" borderId="3" xfId="0" applyNumberFormat="1" applyFont="1" applyFill="1" applyBorder="1" applyAlignment="1">
      <x:alignment vertical="center"/>
    </x:xf>
    <x:xf numFmtId="0" fontId="14" fillId="5" borderId="3" xfId="0" applyNumberFormat="1" applyFont="1" applyFill="1" applyBorder="1" applyAlignment="1">
      <x:alignment vertical="center"/>
    </x:xf>
    <x:xf numFmtId="0" fontId="15" fillId="5" borderId="3" xfId="0" applyNumberFormat="1" applyFont="1" applyFill="1" applyBorder="1" applyAlignment="1">
      <x:alignment vertical="center"/>
    </x:xf>
    <x:xf numFmtId="0" fontId="16" fillId="5" borderId="3" xfId="0" applyNumberFormat="1" applyFont="1" applyFill="1" applyBorder="1" applyAlignment="1">
      <x:alignment vertical="center"/>
    </x:xf>
    <x:xf numFmtId="0" fontId="17" fillId="5" borderId="3" xfId="0" applyNumberFormat="1" applyFont="1" applyFill="1" applyBorder="1" applyAlignment="1">
      <x:alignment vertical="center"/>
    </x:xf>
    <x:xf numFmtId="0" fontId="18" fillId="5" borderId="3" xfId="0" applyNumberFormat="1" applyFont="1" applyFill="1" applyBorder="1" applyAlignment="1">
      <x:alignment vertical="center"/>
    </x:xf>
    <x:xf numFmtId="0" fontId="19" fillId="5" borderId="3" xfId="0" applyNumberFormat="1" applyFont="1" applyFill="1" applyBorder="1" applyAlignment="1">
      <x:alignment vertical="center"/>
    </x:xf>
    <x:xf numFmtId="0" fontId="20" fillId="5" borderId="3" xfId="0" applyNumberFormat="1" applyFont="1" applyFill="1" applyBorder="1" applyAlignment="1">
      <x:alignment vertical="center"/>
    </x:xf>
    <x:xf numFmtId="0" fontId="21" fillId="5" borderId="3" xfId="0" applyNumberFormat="1" applyFont="1" applyFill="1" applyBorder="1" applyAlignment="1">
      <x:alignment vertical="center"/>
    </x:xf>
    <x:xf numFmtId="0" fontId="22" fillId="5" borderId="3" xfId="0" applyNumberFormat="1" applyFont="1" applyFill="1" applyBorder="1" applyAlignment="1">
      <x:alignment vertical="center"/>
    </x:xf>
    <x:xf numFmtId="0" fontId="23" fillId="5" borderId="3" xfId="0" applyNumberFormat="1" applyFont="1" applyFill="1" applyBorder="1" applyAlignment="1">
      <x:alignment vertical="center"/>
    </x:xf>
    <x:xf numFmtId="0" fontId="24" fillId="5" borderId="3" xfId="0" applyNumberFormat="1" applyFont="1" applyFill="1" applyBorder="1" applyAlignment="1">
      <x:alignment vertical="center"/>
    </x:xf>
    <x:xf numFmtId="0" fontId="25" fillId="5" borderId="3" xfId="0" applyNumberFormat="1" applyFont="1" applyFill="1" applyBorder="1" applyAlignment="1">
      <x:alignment vertical="center"/>
    </x:xf>
    <x:xf numFmtId="201" fontId="4" fillId="5" borderId="2" xfId="0" applyNumberFormat="1" applyFont="1" applyFill="1" applyBorder="1" applyAlignment="1">
      <x:alignment vertical="center"/>
    </x:xf>
    <x:xf numFmtId="201" fontId="4" fillId="5" borderId="3" xfId="0" applyNumberFormat="1" applyFont="1" applyFill="1" applyBorder="1" applyAlignment="1">
      <x:alignment vertical="center"/>
    </x:xf>
    <x:xf numFmtId="205" fontId="4" fillId="5" borderId="2" xfId="0" applyNumberFormat="1" applyFont="1" applyFill="1" applyBorder="1" applyAlignment="1">
      <x:alignment vertical="center"/>
    </x:xf>
    <x:xf numFmtId="205" fontId="4" fillId="5" borderId="3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26" fillId="7" borderId="0" xfId="0" applyNumberFormat="1" applyFont="1" applyFill="1" applyBorder="1"/>
    <x:xf numFmtId="0" fontId="26" fillId="7" borderId="5" xfId="0" applyNumberFormat="1" applyFont="1" applyFill="1" applyBorder="1"/>
    <x:xf numFmtId="0" fontId="26" fillId="7" borderId="6" xfId="0" applyNumberFormat="1" applyFont="1" applyFill="1" applyBorder="1"/>
    <x:xf numFmtId="0" fontId="26" fillId="7" borderId="7" xfId="0" applyNumberFormat="1" applyFont="1" applyFill="1" applyBorder="1"/>
    <x:xf numFmtId="0" fontId="26" fillId="7" borderId="8" xfId="0" applyNumberFormat="1" applyFont="1" applyFill="1" applyBorder="1"/>
    <x:xf numFmtId="0" fontId="26" fillId="7" borderId="5" xfId="0" applyNumberFormat="1" applyFont="1" applyFill="1" applyBorder="1" applyAlignment="1">
      <x:alignment horizontal="center"/>
    </x:xf>
    <x:xf numFmtId="0" fontId="26" fillId="7" borderId="6" xfId="0" applyNumberFormat="1" applyFont="1" applyFill="1" applyBorder="1" applyAlignment="1">
      <x:alignment horizontal="center"/>
    </x:xf>
    <x:xf numFmtId="0" fontId="26" fillId="7" borderId="7" xfId="0" applyNumberFormat="1" applyFont="1" applyFill="1" applyBorder="1" applyAlignment="1">
      <x:alignment horizontal="center"/>
    </x:xf>
    <x:xf numFmtId="0" fontId="26" fillId="7" borderId="8" xfId="0" applyNumberFormat="1" applyFont="1" applyFill="1" applyBorder="1" applyAlignment="1">
      <x:alignment horizontal="center"/>
    </x:xf>
    <x:xf numFmtId="0" fontId="26" fillId="7" borderId="5" xfId="0" applyNumberFormat="1" applyFont="1" applyFill="1" applyBorder="1" applyAlignment="1">
      <x:alignment horizontal="center" vertical="center"/>
    </x:xf>
    <x:xf numFmtId="0" fontId="26" fillId="7" borderId="6" xfId="0" applyNumberFormat="1" applyFont="1" applyFill="1" applyBorder="1" applyAlignment="1">
      <x:alignment horizontal="center" vertical="center"/>
    </x:xf>
    <x:xf numFmtId="0" fontId="26" fillId="7" borderId="7" xfId="0" applyNumberFormat="1" applyFont="1" applyFill="1" applyBorder="1" applyAlignment="1">
      <x:alignment horizontal="center" vertical="center"/>
    </x:xf>
    <x:xf numFmtId="0" fontId="26" fillId="7" borderId="8" xfId="0" applyNumberFormat="1" applyFont="1" applyFill="1" applyBorder="1" applyAlignment="1">
      <x:alignment horizontal="center" vertical="center"/>
    </x:xf>
    <x:xf numFmtId="201" fontId="26" fillId="7" borderId="5" xfId="0" applyNumberFormat="1" applyFont="1" applyFill="1" applyBorder="1" applyAlignment="1">
      <x:alignment horizontal="center" vertical="center"/>
    </x:xf>
    <x:xf numFmtId="200" fontId="26" fillId="7" borderId="5" xfId="0" applyNumberFormat="1" applyFont="1" applyFill="1" applyBorder="1" applyAlignment="1">
      <x:alignment horizontal="center" vertical="center"/>
    </x:xf>
    <x:xf numFmtId="0" fontId="27" fillId="2" borderId="0" xfId="0" applyNumberFormat="1" applyFont="1" applyFill="1" applyBorder="1"/>
    <x:xf numFmtId="0" fontId="28" fillId="10" borderId="0" xfId="0" applyNumberFormat="1" applyFont="1" applyFill="1" applyBorder="1"/>
    <x:xf numFmtId="0" fontId="28" fillId="10" borderId="5" xfId="0" applyNumberFormat="1" applyFont="1" applyFill="1" applyBorder="1"/>
    <x:xf numFmtId="0" fontId="28" fillId="10" borderId="9" xfId="0" applyNumberFormat="1" applyFont="1" applyFill="1" applyBorder="1"/>
    <x:xf numFmtId="0" fontId="28" fillId="10" borderId="6" xfId="0" applyNumberFormat="1" applyFont="1" applyFill="1" applyBorder="1"/>
    <x:xf numFmtId="0" fontId="28" fillId="10" borderId="10" xfId="0" applyNumberFormat="1" applyFont="1" applyFill="1" applyBorder="1"/>
    <x:xf numFmtId="0" fontId="28" fillId="10" borderId="11" xfId="0" applyNumberFormat="1" applyFont="1" applyFill="1" applyBorder="1"/>
    <x:xf numFmtId="0" fontId="28" fillId="10" borderId="7" xfId="0" applyNumberFormat="1" applyFont="1" applyFill="1" applyBorder="1"/>
    <x:xf numFmtId="0" fontId="28" fillId="10" borderId="12" xfId="0" applyNumberFormat="1" applyFont="1" applyFill="1" applyBorder="1"/>
    <x:xf numFmtId="0" fontId="28" fillId="10" borderId="8" xfId="0" applyNumberFormat="1" applyFont="1" applyFill="1" applyBorder="1"/>
    <x:xf numFmtId="0" fontId="28" fillId="10" borderId="5" xfId="0" applyNumberFormat="1" applyFont="1" applyFill="1" applyBorder="1" applyAlignment="1">
      <x:alignment wrapText="1"/>
    </x:xf>
    <x:xf numFmtId="0" fontId="28" fillId="10" borderId="9" xfId="0" applyNumberFormat="1" applyFont="1" applyFill="1" applyBorder="1" applyAlignment="1">
      <x:alignment wrapText="1"/>
    </x:xf>
    <x:xf numFmtId="0" fontId="28" fillId="10" borderId="6" xfId="0" applyNumberFormat="1" applyFont="1" applyFill="1" applyBorder="1" applyAlignment="1">
      <x:alignment wrapText="1"/>
    </x:xf>
    <x:xf numFmtId="0" fontId="28" fillId="10" borderId="10" xfId="0" applyNumberFormat="1" applyFont="1" applyFill="1" applyBorder="1" applyAlignment="1">
      <x:alignment wrapText="1"/>
    </x:xf>
    <x:xf numFmtId="0" fontId="28" fillId="10" borderId="0" xfId="0" applyNumberFormat="1" applyFont="1" applyFill="1" applyBorder="1" applyAlignment="1">
      <x:alignment wrapText="1"/>
    </x:xf>
    <x:xf numFmtId="0" fontId="28" fillId="10" borderId="11" xfId="0" applyNumberFormat="1" applyFont="1" applyFill="1" applyBorder="1" applyAlignment="1">
      <x:alignment wrapText="1"/>
    </x:xf>
    <x:xf numFmtId="0" fontId="28" fillId="10" borderId="7" xfId="0" applyNumberFormat="1" applyFont="1" applyFill="1" applyBorder="1" applyAlignment="1">
      <x:alignment wrapText="1"/>
    </x:xf>
    <x:xf numFmtId="0" fontId="28" fillId="10" borderId="12" xfId="0" applyNumberFormat="1" applyFont="1" applyFill="1" applyBorder="1" applyAlignment="1">
      <x:alignment wrapText="1"/>
    </x:xf>
    <x:xf numFmtId="0" fontId="28" fillId="10" borderId="8" xfId="0" applyNumberFormat="1" applyFont="1" applyFill="1" applyBorder="1" applyAlignment="1">
      <x:alignment wrapText="1"/>
    </x:xf>
    <x:xf numFmtId="0" fontId="28" fillId="10" borderId="5" xfId="0" applyNumberFormat="1" applyFont="1" applyFill="1" applyBorder="1" applyAlignment="1">
      <x:alignment vertical="top" wrapText="1"/>
    </x:xf>
    <x:xf numFmtId="0" fontId="28" fillId="10" borderId="9" xfId="0" applyNumberFormat="1" applyFont="1" applyFill="1" applyBorder="1" applyAlignment="1">
      <x:alignment vertical="top" wrapText="1"/>
    </x:xf>
    <x:xf numFmtId="0" fontId="28" fillId="10" borderId="6" xfId="0" applyNumberFormat="1" applyFont="1" applyFill="1" applyBorder="1" applyAlignment="1">
      <x:alignment vertical="top" wrapText="1"/>
    </x:xf>
    <x:xf numFmtId="0" fontId="28" fillId="10" borderId="10" xfId="0" applyNumberFormat="1" applyFont="1" applyFill="1" applyBorder="1" applyAlignment="1">
      <x:alignment vertical="top" wrapText="1"/>
    </x:xf>
    <x:xf numFmtId="0" fontId="28" fillId="10" borderId="0" xfId="0" applyNumberFormat="1" applyFont="1" applyFill="1" applyBorder="1" applyAlignment="1">
      <x:alignment vertical="top" wrapText="1"/>
    </x:xf>
    <x:xf numFmtId="0" fontId="28" fillId="10" borderId="11" xfId="0" applyNumberFormat="1" applyFont="1" applyFill="1" applyBorder="1" applyAlignment="1">
      <x:alignment vertical="top" wrapText="1"/>
    </x:xf>
    <x:xf numFmtId="0" fontId="28" fillId="10" borderId="7" xfId="0" applyNumberFormat="1" applyFont="1" applyFill="1" applyBorder="1" applyAlignment="1">
      <x:alignment vertical="top" wrapText="1"/>
    </x:xf>
    <x:xf numFmtId="0" fontId="28" fillId="10" borderId="12" xfId="0" applyNumberFormat="1" applyFont="1" applyFill="1" applyBorder="1" applyAlignment="1">
      <x:alignment vertical="top" wrapText="1"/>
    </x:xf>
    <x:xf numFmtId="0" fontId="28" fillId="10" borderId="8" xfId="0" applyNumberFormat="1" applyFont="1" applyFill="1" applyBorder="1" applyAlignment="1">
      <x:alignment vertical="top" wrapText="1"/>
    </x:xf>
    <x:xf numFmtId="0" fontId="0" fillId="12" borderId="0" xfId="0" applyNumberFormat="1" applyFont="1" applyFill="1" applyBorder="1"/>
    <x:xf numFmtId="0" fontId="29" fillId="12" borderId="0" xfId="0" applyNumberFormat="1" applyFont="1" applyFill="1" applyBorder="1"/>
    <x:xf numFmtId="0" fontId="29" fillId="12" borderId="13" xfId="0" applyNumberFormat="1" applyFont="1" applyFill="1" applyBorder="1"/>
    <x:xf numFmtId="0" fontId="29" fillId="12" borderId="14" xfId="0" applyNumberFormat="1" applyFont="1" applyFill="1" applyBorder="1"/>
    <x:xf numFmtId="0" fontId="29" fillId="12" borderId="15" xfId="0" applyNumberFormat="1" applyFont="1" applyFill="1" applyBorder="1"/>
    <x:xf numFmtId="0" fontId="29" fillId="12" borderId="16" xfId="0" applyNumberFormat="1" applyFont="1" applyFill="1" applyBorder="1"/>
    <x:xf numFmtId="0" fontId="29" fillId="12" borderId="17" xfId="0" applyNumberFormat="1" applyFont="1" applyFill="1" applyBorder="1"/>
    <x:xf numFmtId="0" fontId="29" fillId="12" borderId="18" xfId="0" applyNumberFormat="1" applyFont="1" applyFill="1" applyBorder="1"/>
    <x:xf numFmtId="0" fontId="29" fillId="12" borderId="13" xfId="0" applyNumberFormat="1" applyFont="1" applyFill="1" applyBorder="1" applyAlignment="1">
      <x:alignment wrapText="1"/>
    </x:xf>
    <x:xf numFmtId="0" fontId="29" fillId="12" borderId="14" xfId="0" applyNumberFormat="1" applyFont="1" applyFill="1" applyBorder="1" applyAlignment="1">
      <x:alignment wrapText="1"/>
    </x:xf>
    <x:xf numFmtId="0" fontId="29" fillId="12" borderId="15" xfId="0" applyNumberFormat="1" applyFont="1" applyFill="1" applyBorder="1" applyAlignment="1">
      <x:alignment wrapText="1"/>
    </x:xf>
    <x:xf numFmtId="0" fontId="29" fillId="12" borderId="16" xfId="0" applyNumberFormat="1" applyFont="1" applyFill="1" applyBorder="1" applyAlignment="1">
      <x:alignment wrapText="1"/>
    </x:xf>
    <x:xf numFmtId="0" fontId="29" fillId="12" borderId="17" xfId="0" applyNumberFormat="1" applyFont="1" applyFill="1" applyBorder="1" applyAlignment="1">
      <x:alignment wrapText="1"/>
    </x:xf>
    <x:xf numFmtId="0" fontId="29" fillId="12" borderId="18" xfId="0" applyNumberFormat="1" applyFont="1" applyFill="1" applyBorder="1" applyAlignment="1">
      <x:alignment wrapText="1"/>
    </x:xf>
    <x:xf numFmtId="0" fontId="29" fillId="12" borderId="13" xfId="0" applyNumberFormat="1" applyFont="1" applyFill="1" applyBorder="1" applyAlignment="1">
      <x:alignment vertical="center" wrapText="1"/>
    </x:xf>
    <x:xf numFmtId="0" fontId="29" fillId="12" borderId="14" xfId="0" applyNumberFormat="1" applyFont="1" applyFill="1" applyBorder="1" applyAlignment="1">
      <x:alignment vertical="center" wrapText="1"/>
    </x:xf>
    <x:xf numFmtId="0" fontId="29" fillId="12" borderId="15" xfId="0" applyNumberFormat="1" applyFont="1" applyFill="1" applyBorder="1" applyAlignment="1">
      <x:alignment vertical="center" wrapText="1"/>
    </x:xf>
    <x:xf numFmtId="0" fontId="29" fillId="12" borderId="16" xfId="0" applyNumberFormat="1" applyFont="1" applyFill="1" applyBorder="1" applyAlignment="1">
      <x:alignment vertical="center" wrapText="1"/>
    </x:xf>
    <x:xf numFmtId="0" fontId="29" fillId="12" borderId="17" xfId="0" applyNumberFormat="1" applyFont="1" applyFill="1" applyBorder="1" applyAlignment="1">
      <x:alignment vertical="center" wrapText="1"/>
    </x:xf>
    <x:xf numFmtId="0" fontId="29" fillId="12" borderId="18" xfId="0" applyNumberFormat="1" applyFont="1" applyFill="1" applyBorder="1" applyAlignment="1">
      <x:alignment vertical="center" wrapText="1"/>
    </x:xf>
    <x:xf numFmtId="0" fontId="30" fillId="3" borderId="0" xfId="0" applyNumberFormat="1" applyFont="1" applyFill="1" applyBorder="1"/>
    <x:xf numFmtId="200" fontId="30" fillId="3" borderId="0" xfId="0" applyNumberFormat="1" applyFont="1" applyFill="1" applyBorder="1"/>
    <x:xf numFmtId="206" fontId="4" fillId="5" borderId="2" xfId="0" applyNumberFormat="1" applyFont="1" applyFill="1" applyBorder="1" applyAlignment="1">
      <x:alignment vertical="center"/>
    </x:xf>
    <x:xf numFmtId="206" fontId="4" fillId="5" borderId="3" xfId="0" applyNumberFormat="1" applyFont="1" applyFill="1" applyBorder="1" applyAlignment="1">
      <x:alignment vertical="center"/>
    </x:xf>
    <x:xf numFmtId="0" fontId="4" fillId="2" borderId="3" xfId="0" applyNumberFormat="1" applyFont="1" applyFill="1" applyBorder="1" applyAlignment="1">
      <x:alignment vertical="center"/>
    </x:xf>
    <x:xf numFmtId="0" fontId="27" fillId="2" borderId="3" xfId="0" applyNumberFormat="1" applyFont="1" applyFill="1" applyBorder="1" applyAlignment="1">
      <x:alignment vertical="center"/>
    </x:xf>
    <x:xf numFmtId="0" fontId="27" fillId="2" borderId="19" xfId="0" applyNumberFormat="1" applyFont="1" applyFill="1" applyBorder="1" applyAlignment="1">
      <x:alignment vertical="center"/>
    </x:xf>
    <x:xf numFmtId="0" fontId="27" fillId="2" borderId="20" xfId="0" applyNumberFormat="1" applyFont="1" applyFill="1" applyBorder="1" applyAlignment="1">
      <x:alignment vertical="center"/>
    </x:xf>
    <x:xf numFmtId="0" fontId="27" fillId="2" borderId="21" xfId="0" applyNumberFormat="1" applyFont="1" applyFill="1" applyBorder="1" applyAlignment="1">
      <x:alignment vertical="center"/>
    </x:xf>
    <x:xf numFmtId="0" fontId="0" fillId="13" borderId="0" xfId="0" applyNumberFormat="1" applyFont="1" applyFill="1" applyBorder="1"/>
    <x:xf numFmtId="0" fontId="1" fillId="13" borderId="0" xfId="0" applyNumberFormat="1" applyFont="1" applyFill="1" applyBorder="1"/>
    <x:xf numFmtId="0" fontId="1" fillId="13" borderId="0" xfId="0" applyNumberFormat="1" applyFont="1" applyFill="1" applyBorder="1" applyAlignment="1">
      <x:alignment vertical="center"/>
    </x:xf>
    <x:xf numFmtId="0" fontId="0" fillId="14" borderId="0" xfId="0" applyNumberFormat="1" applyFont="1" applyFill="1" applyBorder="1"/>
    <x:xf numFmtId="0" fontId="31" fillId="14" borderId="0" xfId="0" applyNumberFormat="1" applyFont="1" applyFill="1" applyBorder="1"/>
    <x:xf numFmtId="0" fontId="31" fillId="14" borderId="0" xfId="0" applyNumberFormat="1" applyFont="1" applyFill="1" applyBorder="1" applyAlignment="1">
      <x:alignment wrapText="1"/>
    </x:xf>
    <x:xf numFmtId="0" fontId="31" fillId="14" borderId="0" xfId="0" applyNumberFormat="1" applyFont="1" applyFill="1" applyBorder="1" applyAlignment="1">
      <x:alignment vertical="center" wrapText="1"/>
    </x:xf>
    <x:xf numFmtId="0" fontId="0" fillId="15" borderId="0" xfId="0" applyNumberFormat="1" applyFont="1" applyFill="1" applyBorder="1"/>
    <x:xf numFmtId="0" fontId="32" fillId="15" borderId="0" xfId="0" applyNumberFormat="1" applyFont="1" applyFill="1" applyBorder="1"/>
    <x:xf numFmtId="0" fontId="32" fillId="15" borderId="22" xfId="0" applyNumberFormat="1" applyFont="1" applyFill="1" applyBorder="1"/>
    <x:xf numFmtId="0" fontId="32" fillId="15" borderId="23" xfId="0" applyNumberFormat="1" applyFont="1" applyFill="1" applyBorder="1"/>
    <x:xf numFmtId="0" fontId="32" fillId="15" borderId="24" xfId="0" applyNumberFormat="1" applyFont="1" applyFill="1" applyBorder="1"/>
    <x:xf numFmtId="0" fontId="32" fillId="15" borderId="22" xfId="0" applyNumberFormat="1" applyFont="1" applyFill="1" applyBorder="1" applyAlignment="1">
      <x:alignment wrapText="1"/>
    </x:xf>
    <x:xf numFmtId="0" fontId="32" fillId="15" borderId="23" xfId="0" applyNumberFormat="1" applyFont="1" applyFill="1" applyBorder="1" applyAlignment="1">
      <x:alignment wrapText="1"/>
    </x:xf>
    <x:xf numFmtId="0" fontId="32" fillId="15" borderId="24" xfId="0" applyNumberFormat="1" applyFont="1" applyFill="1" applyBorder="1" applyAlignment="1">
      <x:alignment wrapText="1"/>
    </x:xf>
    <x:xf numFmtId="0" fontId="0" fillId="16" borderId="0" xfId="0" applyNumberFormat="1" applyFont="1" applyFill="1" applyBorder="1"/>
    <x:xf numFmtId="0" fontId="6" fillId="16" borderId="0" xfId="0" applyNumberFormat="1" applyFont="1" applyFill="1" applyBorder="1"/>
    <x:xf numFmtId="0" fontId="33" fillId="0" borderId="0" xfId="0" applyNumberFormat="1" applyFont="1" applyFill="1" applyBorder="1"/>
    <x:xf numFmtId="0" fontId="33" fillId="0" borderId="25" xfId="0" applyNumberFormat="1" applyFont="1" applyFill="1" applyBorder="1"/>
    <x:xf numFmtId="0" fontId="33" fillId="0" borderId="25" xfId="0" applyNumberFormat="1" applyFont="1" applyFill="1" applyBorder="1" applyAlignment="1">
      <x:alignment wrapText="1"/>
    </x:xf>
    <x:xf numFmtId="0" fontId="33" fillId="17" borderId="25" xfId="0" applyNumberFormat="1" applyFont="1" applyFill="1" applyBorder="1" applyAlignment="1">
      <x:alignment wrapText="1"/>
    </x:xf>
    <x:xf numFmtId="0" fontId="6" fillId="13" borderId="0" xfId="0" applyNumberFormat="1" applyFont="1" applyFill="1" applyBorder="1"/>
    <x:xf numFmtId="0" fontId="33" fillId="18" borderId="25" xfId="0" applyNumberFormat="1" applyFont="1" applyFill="1" applyBorder="1"/>
    <x:xf numFmtId="0" fontId="33" fillId="17" borderId="25" xfId="0" applyNumberFormat="1" applyFont="1" applyFill="1" applyBorder="1"/>
    <x:xf numFmtId="201" fontId="33" fillId="17" borderId="25" xfId="0" applyNumberFormat="1" applyFont="1" applyFill="1" applyBorder="1"/>
    <x:xf numFmtId="0" fontId="33" fillId="19" borderId="25" xfId="0" applyNumberFormat="1" applyFont="1" applyFill="1" applyBorder="1" applyAlignment="1">
      <x:alignment wrapText="1"/>
    </x:xf>
    <x:xf numFmtId="200" fontId="33" fillId="17" borderId="25" xfId="0" applyNumberFormat="1" applyFont="1" applyFill="1" applyBorder="1" applyAlignment="1">
      <x:alignment wrapText="1"/>
    </x:xf>
    <x:xf numFmtId="0" fontId="6" fillId="13" borderId="26" xfId="0" applyNumberFormat="1" applyFont="1" applyFill="1" applyBorder="1"/>
    <x:xf numFmtId="0" fontId="6" fillId="13" borderId="26" xfId="0" applyNumberFormat="1" applyFont="1" applyFill="1" applyBorder="1" applyAlignment="1">
      <x:alignment wrapText="1"/>
    </x:xf>
    <x:xf numFmtId="0" fontId="6" fillId="13" borderId="26" xfId="0" applyNumberFormat="1" applyFont="1" applyFill="1" applyBorder="1" applyAlignment="1">
      <x:alignment vertical="center" wrapText="1"/>
    </x:xf>
    <x:xf numFmtId="0" fontId="33" fillId="0" borderId="27" xfId="0" applyNumberFormat="1" applyFont="1" applyFill="1" applyBorder="1"/>
    <x:xf numFmtId="0" fontId="33" fillId="0" borderId="28" xfId="0" applyNumberFormat="1" applyFont="1" applyFill="1" applyBorder="1"/>
    <x:xf numFmtId="0" fontId="33" fillId="0" borderId="29" xfId="0" applyNumberFormat="1" applyFont="1" applyFill="1" applyBorder="1"/>
    <x:xf numFmtId="0" fontId="33" fillId="0" borderId="30" xfId="0" applyNumberFormat="1" applyFont="1" applyFill="1" applyBorder="1"/>
    <x:xf numFmtId="0" fontId="33" fillId="0" borderId="31" xfId="0" applyNumberFormat="1" applyFont="1" applyFill="1" applyBorder="1"/>
    <x:xf numFmtId="0" fontId="33" fillId="0" borderId="32" xfId="0" applyNumberFormat="1" applyFont="1" applyFill="1" applyBorder="1"/>
    <x:xf numFmtId="0" fontId="33" fillId="0" borderId="33" xfId="0" applyNumberFormat="1" applyFont="1" applyFill="1" applyBorder="1"/>
    <x:xf numFmtId="0" fontId="33" fillId="0" borderId="34" xfId="0" applyNumberFormat="1" applyFont="1" applyFill="1" applyBorder="1"/>
    <x:xf numFmtId="0" fontId="33" fillId="0" borderId="35" xfId="0" applyNumberFormat="1" applyFont="1" applyFill="1" applyBorder="1"/>
    <x:xf numFmtId="200" fontId="33" fillId="0" borderId="28" xfId="0" applyNumberFormat="1" applyFont="1" applyFill="1" applyBorder="1"/>
    <x:xf numFmtId="200" fontId="33" fillId="0" borderId="31" xfId="0" applyNumberFormat="1" applyFont="1" applyFill="1" applyBorder="1"/>
    <x:xf numFmtId="200" fontId="33" fillId="0" borderId="34" xfId="0" applyNumberFormat="1" applyFont="1" applyFill="1" applyBorder="1"/>
    <x:xf numFmtId="201" fontId="33" fillId="0" borderId="28" xfId="0" applyNumberFormat="1" applyFont="1" applyFill="1" applyBorder="1"/>
    <x:xf numFmtId="201" fontId="33" fillId="0" borderId="29" xfId="0" applyNumberFormat="1" applyFont="1" applyFill="1" applyBorder="1"/>
    <x:xf numFmtId="201" fontId="33" fillId="0" borderId="31" xfId="0" applyNumberFormat="1" applyFont="1" applyFill="1" applyBorder="1"/>
    <x:xf numFmtId="201" fontId="33" fillId="0" borderId="32" xfId="0" applyNumberFormat="1" applyFont="1" applyFill="1" applyBorder="1"/>
    <x:xf numFmtId="201" fontId="33" fillId="0" borderId="34" xfId="0" applyNumberFormat="1" applyFont="1" applyFill="1" applyBorder="1"/>
    <x:xf numFmtId="201" fontId="33" fillId="0" borderId="35" xfId="0" applyNumberFormat="1" applyFont="1" applyFill="1" applyBorder="1"/>
    <x:xf numFmtId="0" fontId="33" fillId="20" borderId="33" xfId="0" applyNumberFormat="1" applyFont="1" applyFill="1" applyBorder="1"/>
    <x:xf numFmtId="0" fontId="33" fillId="20" borderId="34" xfId="0" applyNumberFormat="1" applyFont="1" applyFill="1" applyBorder="1"/>
    <x:xf numFmtId="200" fontId="33" fillId="20" borderId="34" xfId="0" applyNumberFormat="1" applyFont="1" applyFill="1" applyBorder="1"/>
    <x:xf numFmtId="201" fontId="33" fillId="20" borderId="34" xfId="0" applyNumberFormat="1" applyFont="1" applyFill="1" applyBorder="1"/>
    <x:xf numFmtId="201" fontId="33" fillId="20" borderId="35" xfId="0" applyNumberFormat="1" applyFont="1" applyFill="1" applyBorder="1"/>
    <x:xf numFmtId="0" fontId="34" fillId="20" borderId="33" xfId="0" applyNumberFormat="1" applyFont="1" applyFill="1" applyBorder="1"/>
    <x:xf numFmtId="0" fontId="34" fillId="20" borderId="34" xfId="0" applyNumberFormat="1" applyFont="1" applyFill="1" applyBorder="1"/>
    <x:xf numFmtId="200" fontId="34" fillId="20" borderId="34" xfId="0" applyNumberFormat="1" applyFont="1" applyFill="1" applyBorder="1"/>
    <x:xf numFmtId="201" fontId="34" fillId="20" borderId="34" xfId="0" applyNumberFormat="1" applyFont="1" applyFill="1" applyBorder="1"/>
    <x:xf numFmtId="201" fontId="34" fillId="20" borderId="35" xfId="0" applyNumberFormat="1" applyFont="1" applyFill="1" applyBorder="1"/>
    <x:xf numFmtId="0" fontId="34" fillId="20" borderId="36" xfId="0" applyNumberFormat="1" applyFont="1" applyFill="1" applyBorder="1"/>
    <x:xf numFmtId="200" fontId="34" fillId="20" borderId="36" xfId="0" applyNumberFormat="1" applyFont="1" applyFill="1" applyBorder="1"/>
    <x:xf numFmtId="201" fontId="34" fillId="20" borderId="36" xfId="0" applyNumberFormat="1" applyFont="1" applyFill="1" applyBorder="1"/>
    <x:xf numFmtId="0" fontId="35" fillId="14" borderId="0" xfId="0" applyNumberFormat="1" applyFont="1" applyFill="1" applyBorder="1"/>
    <x:xf numFmtId="0" fontId="35" fillId="14" borderId="37" xfId="0" applyNumberFormat="1" applyFont="1" applyFill="1" applyBorder="1"/>
    <x:xf numFmtId="0" fontId="35" fillId="14" borderId="38" xfId="0" applyNumberFormat="1" applyFont="1" applyFill="1" applyBorder="1"/>
    <x:xf numFmtId="0" fontId="35" fillId="14" borderId="39" xfId="0" applyNumberFormat="1" applyFont="1" applyFill="1" applyBorder="1"/>
    <x:xf numFmtId="0" fontId="35" fillId="14" borderId="37" xfId="0" applyNumberFormat="1" applyFont="1" applyFill="1" applyBorder="1" applyAlignment="1">
      <x:alignment wrapText="1"/>
    </x:xf>
    <x:xf numFmtId="0" fontId="35" fillId="14" borderId="38" xfId="0" applyNumberFormat="1" applyFont="1" applyFill="1" applyBorder="1" applyAlignment="1">
      <x:alignment wrapText="1"/>
    </x:xf>
    <x:xf numFmtId="0" fontId="35" fillId="14" borderId="39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/>
    </x:xf>
    <x:xf numFmtId="0" fontId="32" fillId="15" borderId="22" xfId="0" applyNumberFormat="1" applyFont="1" applyFill="1" applyBorder="1" applyAlignment="1">
      <x:alignment vertical="center" wrapText="1"/>
    </x:xf>
    <x:xf numFmtId="0" fontId="32" fillId="15" borderId="23" xfId="0" applyNumberFormat="1" applyFont="1" applyFill="1" applyBorder="1" applyAlignment="1">
      <x:alignment vertical="center" wrapText="1"/>
    </x:xf>
    <x:xf numFmtId="0" fontId="32" fillId="15" borderId="24" xfId="0" applyNumberFormat="1" applyFont="1" applyFill="1" applyBorder="1" applyAlignment="1">
      <x:alignment vertical="center" wrapText="1"/>
    </x:xf>
    <x:xf numFmtId="0" fontId="6" fillId="16" borderId="0" xfId="0" applyNumberFormat="1" applyFont="1" applyFill="1" applyBorder="1" applyAlignment="1">
      <x:alignment vertical="center"/>
    </x:xf>
    <x:xf numFmtId="0" fontId="6" fillId="13" borderId="0" xfId="0" applyNumberFormat="1" applyFont="1" applyFill="1" applyBorder="1" applyAlignment="1">
      <x:alignment vertical="center"/>
    </x:xf>
    <x:xf numFmtId="0" fontId="33" fillId="17" borderId="25" xfId="0" applyNumberFormat="1" applyFont="1" applyFill="1" applyBorder="1" applyAlignment="1">
      <x:alignment vertical="center" wrapText="1"/>
    </x:xf>
    <x:xf numFmtId="0" fontId="33" fillId="18" borderId="25" xfId="0" applyNumberFormat="1" applyFont="1" applyFill="1" applyBorder="1" applyAlignment="1">
      <x:alignment vertical="center"/>
    </x:xf>
    <x:xf numFmtId="201" fontId="33" fillId="17" borderId="25" xfId="0" applyNumberFormat="1" applyFont="1" applyFill="1" applyBorder="1" applyAlignment="1">
      <x:alignment vertical="center"/>
    </x:xf>
    <x:xf numFmtId="0" fontId="33" fillId="19" borderId="25" xfId="0" applyNumberFormat="1" applyFont="1" applyFill="1" applyBorder="1" applyAlignment="1">
      <x:alignment vertical="center" wrapText="1"/>
    </x:xf>
    <x:xf numFmtId="200" fontId="33" fillId="17" borderId="25" xfId="0" applyNumberFormat="1" applyFont="1" applyFill="1" applyBorder="1" applyAlignment="1">
      <x:alignment vertical="center" wrapText="1"/>
    </x:xf>
    <x:xf numFmtId="0" fontId="33" fillId="0" borderId="27" xfId="0" applyNumberFormat="1" applyFont="1" applyFill="1" applyBorder="1" applyAlignment="1">
      <x:alignment vertical="center"/>
    </x:xf>
    <x:xf numFmtId="0" fontId="33" fillId="0" borderId="28" xfId="0" applyNumberFormat="1" applyFont="1" applyFill="1" applyBorder="1" applyAlignment="1">
      <x:alignment vertical="center"/>
    </x:xf>
    <x:xf numFmtId="200" fontId="33" fillId="0" borderId="28" xfId="0" applyNumberFormat="1" applyFont="1" applyFill="1" applyBorder="1" applyAlignment="1">
      <x:alignment vertical="center"/>
    </x:xf>
    <x:xf numFmtId="201" fontId="33" fillId="0" borderId="28" xfId="0" applyNumberFormat="1" applyFont="1" applyFill="1" applyBorder="1" applyAlignment="1">
      <x:alignment vertical="center"/>
    </x:xf>
    <x:xf numFmtId="201" fontId="33" fillId="0" borderId="29" xfId="0" applyNumberFormat="1" applyFont="1" applyFill="1" applyBorder="1" applyAlignment="1">
      <x:alignment vertical="center"/>
    </x:xf>
    <x:xf numFmtId="0" fontId="33" fillId="0" borderId="30" xfId="0" applyNumberFormat="1" applyFont="1" applyFill="1" applyBorder="1" applyAlignment="1">
      <x:alignment vertical="center"/>
    </x:xf>
    <x:xf numFmtId="0" fontId="33" fillId="0" borderId="31" xfId="0" applyNumberFormat="1" applyFont="1" applyFill="1" applyBorder="1" applyAlignment="1">
      <x:alignment vertical="center"/>
    </x:xf>
    <x:xf numFmtId="200" fontId="33" fillId="0" borderId="31" xfId="0" applyNumberFormat="1" applyFont="1" applyFill="1" applyBorder="1" applyAlignment="1">
      <x:alignment vertical="center"/>
    </x:xf>
    <x:xf numFmtId="201" fontId="33" fillId="0" borderId="31" xfId="0" applyNumberFormat="1" applyFont="1" applyFill="1" applyBorder="1" applyAlignment="1">
      <x:alignment vertical="center"/>
    </x:xf>
    <x:xf numFmtId="201" fontId="33" fillId="0" borderId="32" xfId="0" applyNumberFormat="1" applyFont="1" applyFill="1" applyBorder="1" applyAlignment="1">
      <x:alignment vertical="center"/>
    </x:xf>
    <x:xf numFmtId="0" fontId="34" fillId="20" borderId="36" xfId="0" applyNumberFormat="1" applyFont="1" applyFill="1" applyBorder="1" applyAlignment="1">
      <x:alignment vertical="center"/>
    </x:xf>
    <x:xf numFmtId="200" fontId="34" fillId="20" borderId="36" xfId="0" applyNumberFormat="1" applyFont="1" applyFill="1" applyBorder="1" applyAlignment="1">
      <x:alignment vertical="center"/>
    </x:xf>
    <x:xf numFmtId="201" fontId="34" fillId="20" borderId="36" xfId="0" applyNumberFormat="1" applyFont="1" applyFill="1" applyBorder="1" applyAlignment="1">
      <x:alignment vertical="center"/>
    </x:xf>
    <x:xf numFmtId="0" fontId="35" fillId="14" borderId="37" xfId="0" applyNumberFormat="1" applyFont="1" applyFill="1" applyBorder="1" applyAlignment="1">
      <x:alignment vertical="center" wrapText="1"/>
    </x:xf>
    <x:xf numFmtId="0" fontId="35" fillId="14" borderId="38" xfId="0" applyNumberFormat="1" applyFont="1" applyFill="1" applyBorder="1" applyAlignment="1">
      <x:alignment vertical="center" wrapText="1"/>
    </x:xf>
    <x:xf numFmtId="0" fontId="35" fillId="14" borderId="39" xfId="0" applyNumberFormat="1" applyFont="1" applyFill="1" applyBorder="1" applyAlignment="1">
      <x:alignment vertical="center" wrapText="1"/>
    </x:xf>
    <x:xf numFmtId="0" fontId="36" fillId="13" borderId="0" xfId="0" applyNumberFormat="1" applyFont="1" applyFill="1" applyBorder="1" applyAlignment="1">
      <x:alignment vertical="center"/>
    </x:xf>
    <x:xf numFmtId="0" fontId="37" fillId="14" borderId="0" xfId="0" applyNumberFormat="1" applyFont="1" applyFill="1" applyBorder="1" applyAlignment="1">
      <x:alignment vertical="center" wrapText="1"/>
    </x:xf>
    <x:xf numFmtId="0" fontId="38" fillId="0" borderId="0" xfId="0" applyNumberFormat="1" applyFont="1" applyFill="1" applyBorder="1" applyAlignment="1">
      <x:alignment vertical="center"/>
    </x:xf>
    <x:xf numFmtId="0" fontId="39" fillId="15" borderId="22" xfId="0" applyNumberFormat="1" applyFont="1" applyFill="1" applyBorder="1" applyAlignment="1">
      <x:alignment vertical="center" wrapText="1"/>
    </x:xf>
    <x:xf numFmtId="0" fontId="39" fillId="15" borderId="23" xfId="0" applyNumberFormat="1" applyFont="1" applyFill="1" applyBorder="1" applyAlignment="1">
      <x:alignment vertical="center" wrapText="1"/>
    </x:xf>
    <x:xf numFmtId="0" fontId="39" fillId="15" borderId="24" xfId="0" applyNumberFormat="1" applyFont="1" applyFill="1" applyBorder="1" applyAlignment="1">
      <x:alignment vertical="center" wrapText="1"/>
    </x:xf>
    <x:xf numFmtId="0" fontId="40" fillId="16" borderId="0" xfId="0" applyNumberFormat="1" applyFont="1" applyFill="1" applyBorder="1" applyAlignment="1">
      <x:alignment vertical="center"/>
    </x:xf>
    <x:xf numFmtId="0" fontId="40" fillId="13" borderId="0" xfId="0" applyNumberFormat="1" applyFont="1" applyFill="1" applyBorder="1" applyAlignment="1">
      <x:alignment vertical="center"/>
    </x:xf>
    <x:xf numFmtId="0" fontId="41" fillId="17" borderId="25" xfId="0" applyNumberFormat="1" applyFont="1" applyFill="1" applyBorder="1" applyAlignment="1">
      <x:alignment vertical="center" wrapText="1"/>
    </x:xf>
    <x:xf numFmtId="0" fontId="41" fillId="18" borderId="25" xfId="0" applyNumberFormat="1" applyFont="1" applyFill="1" applyBorder="1" applyAlignment="1">
      <x:alignment vertical="center"/>
    </x:xf>
    <x:xf numFmtId="201" fontId="41" fillId="17" borderId="25" xfId="0" applyNumberFormat="1" applyFont="1" applyFill="1" applyBorder="1" applyAlignment="1">
      <x:alignment vertical="center"/>
    </x:xf>
    <x:xf numFmtId="0" fontId="41" fillId="19" borderId="25" xfId="0" applyNumberFormat="1" applyFont="1" applyFill="1" applyBorder="1" applyAlignment="1">
      <x:alignment vertical="center" wrapText="1"/>
    </x:xf>
    <x:xf numFmtId="200" fontId="41" fillId="17" borderId="25" xfId="0" applyNumberFormat="1" applyFont="1" applyFill="1" applyBorder="1" applyAlignment="1">
      <x:alignment vertical="center" wrapText="1"/>
    </x:xf>
    <x:xf numFmtId="0" fontId="40" fillId="13" borderId="26" xfId="0" applyNumberFormat="1" applyFont="1" applyFill="1" applyBorder="1" applyAlignment="1">
      <x:alignment vertical="center" wrapText="1"/>
    </x:xf>
    <x:xf numFmtId="0" fontId="41" fillId="0" borderId="27" xfId="0" applyNumberFormat="1" applyFont="1" applyFill="1" applyBorder="1" applyAlignment="1">
      <x:alignment vertical="center"/>
    </x:xf>
    <x:xf numFmtId="0" fontId="41" fillId="0" borderId="28" xfId="0" applyNumberFormat="1" applyFont="1" applyFill="1" applyBorder="1" applyAlignment="1">
      <x:alignment vertical="center"/>
    </x:xf>
    <x:xf numFmtId="200" fontId="41" fillId="0" borderId="28" xfId="0" applyNumberFormat="1" applyFont="1" applyFill="1" applyBorder="1" applyAlignment="1">
      <x:alignment vertical="center"/>
    </x:xf>
    <x:xf numFmtId="201" fontId="41" fillId="0" borderId="28" xfId="0" applyNumberFormat="1" applyFont="1" applyFill="1" applyBorder="1" applyAlignment="1">
      <x:alignment vertical="center"/>
    </x:xf>
    <x:xf numFmtId="201" fontId="41" fillId="0" borderId="29" xfId="0" applyNumberFormat="1" applyFont="1" applyFill="1" applyBorder="1" applyAlignment="1">
      <x:alignment vertical="center"/>
    </x:xf>
    <x:xf numFmtId="0" fontId="41" fillId="0" borderId="30" xfId="0" applyNumberFormat="1" applyFont="1" applyFill="1" applyBorder="1" applyAlignment="1">
      <x:alignment vertical="center"/>
    </x:xf>
    <x:xf numFmtId="0" fontId="41" fillId="0" borderId="31" xfId="0" applyNumberFormat="1" applyFont="1" applyFill="1" applyBorder="1" applyAlignment="1">
      <x:alignment vertical="center"/>
    </x:xf>
    <x:xf numFmtId="200" fontId="41" fillId="0" borderId="31" xfId="0" applyNumberFormat="1" applyFont="1" applyFill="1" applyBorder="1" applyAlignment="1">
      <x:alignment vertical="center"/>
    </x:xf>
    <x:xf numFmtId="201" fontId="41" fillId="0" borderId="31" xfId="0" applyNumberFormat="1" applyFont="1" applyFill="1" applyBorder="1" applyAlignment="1">
      <x:alignment vertical="center"/>
    </x:xf>
    <x:xf numFmtId="201" fontId="41" fillId="0" borderId="32" xfId="0" applyNumberFormat="1" applyFont="1" applyFill="1" applyBorder="1" applyAlignment="1">
      <x:alignment vertical="center"/>
    </x:xf>
    <x:xf numFmtId="0" fontId="42" fillId="20" borderId="36" xfId="0" applyNumberFormat="1" applyFont="1" applyFill="1" applyBorder="1" applyAlignment="1">
      <x:alignment vertical="center"/>
    </x:xf>
    <x:xf numFmtId="200" fontId="42" fillId="20" borderId="36" xfId="0" applyNumberFormat="1" applyFont="1" applyFill="1" applyBorder="1" applyAlignment="1">
      <x:alignment vertical="center"/>
    </x:xf>
    <x:xf numFmtId="201" fontId="42" fillId="20" borderId="36" xfId="0" applyNumberFormat="1" applyFont="1" applyFill="1" applyBorder="1" applyAlignment="1">
      <x:alignment vertical="center"/>
    </x:xf>
    <x:xf numFmtId="0" fontId="43" fillId="14" borderId="37" xfId="0" applyNumberFormat="1" applyFont="1" applyFill="1" applyBorder="1" applyAlignment="1">
      <x:alignment vertical="center" wrapText="1"/>
    </x:xf>
    <x:xf numFmtId="0" fontId="43" fillId="14" borderId="38" xfId="0" applyNumberFormat="1" applyFont="1" applyFill="1" applyBorder="1" applyAlignment="1">
      <x:alignment vertical="center" wrapText="1"/>
    </x:xf>
    <x:xf numFmtId="0" fontId="43" fillId="14" borderId="39" xfId="0" applyNumberFormat="1" applyFont="1" applyFill="1" applyBorder="1" applyAlignment="1">
      <x:alignment vertical="center" wrapText="1"/>
    </x:xf>
    <x:xf numFmtId="0" fontId="44" fillId="0" borderId="0" xfId="0" applyNumberFormat="1" applyFont="1" applyFill="1" applyBorder="1"/>
    <x:xf numFmtId="0" fontId="44" fillId="0" borderId="25" xfId="0" applyNumberFormat="1" applyFont="1" applyFill="1" applyBorder="1"/>
    <x:xf numFmtId="0" fontId="44" fillId="0" borderId="25" xfId="0" applyNumberFormat="1" applyFont="1" applyFill="1" applyBorder="1" applyAlignment="1">
      <x:alignment wrapText="1"/>
    </x:xf>
    <x:xf numFmtId="0" fontId="44" fillId="19" borderId="25" xfId="0" applyNumberFormat="1" applyFont="1" applyFill="1" applyBorder="1" applyAlignment="1">
      <x:alignment wrapText="1"/>
    </x:xf>
    <x:xf numFmtId="0" fontId="0" fillId="21" borderId="0" xfId="0" applyNumberFormat="1" applyFont="1" applyFill="1" applyBorder="1"/>
    <x:xf numFmtId="0" fontId="1" fillId="21" borderId="0" xfId="0" applyNumberFormat="1" applyFont="1" applyFill="1" applyBorder="1"/>
    <x:xf numFmtId="0" fontId="1" fillId="21" borderId="0" xfId="0" applyNumberFormat="1" applyFont="1" applyFill="1" applyBorder="1" applyAlignment="1">
      <x:alignment vertical="center"/>
    </x:xf>
    <x:xf numFmtId="0" fontId="0" fillId="22" borderId="0" xfId="0" applyNumberFormat="1" applyFont="1" applyFill="1" applyBorder="1"/>
    <x:xf numFmtId="0" fontId="31" fillId="22" borderId="0" xfId="0" applyNumberFormat="1" applyFont="1" applyFill="1" applyBorder="1"/>
    <x:xf numFmtId="0" fontId="31" fillId="22" borderId="0" xfId="0" applyNumberFormat="1" applyFont="1" applyFill="1" applyBorder="1" applyAlignment="1">
      <x:alignment wrapText="1"/>
    </x:xf>
    <x:xf numFmtId="0" fontId="31" fillId="22" borderId="0" xfId="0" applyNumberFormat="1" applyFont="1" applyFill="1" applyBorder="1" applyAlignment="1">
      <x:alignment vertical="center" wrapText="1"/>
    </x:xf>
    <x:xf numFmtId="0" fontId="0" fillId="23" borderId="0" xfId="0" applyNumberFormat="1" applyFont="1" applyFill="1" applyBorder="1"/>
    <x:xf numFmtId="0" fontId="32" fillId="23" borderId="0" xfId="0" applyNumberFormat="1" applyFont="1" applyFill="1" applyBorder="1"/>
    <x:xf numFmtId="0" fontId="32" fillId="23" borderId="22" xfId="0" applyNumberFormat="1" applyFont="1" applyFill="1" applyBorder="1"/>
    <x:xf numFmtId="0" fontId="32" fillId="23" borderId="23" xfId="0" applyNumberFormat="1" applyFont="1" applyFill="1" applyBorder="1"/>
    <x:xf numFmtId="0" fontId="32" fillId="23" borderId="24" xfId="0" applyNumberFormat="1" applyFont="1" applyFill="1" applyBorder="1"/>
    <x:xf numFmtId="0" fontId="32" fillId="23" borderId="22" xfId="0" applyNumberFormat="1" applyFont="1" applyFill="1" applyBorder="1" applyAlignment="1">
      <x:alignment wrapText="1"/>
    </x:xf>
    <x:xf numFmtId="0" fontId="32" fillId="23" borderId="23" xfId="0" applyNumberFormat="1" applyFont="1" applyFill="1" applyBorder="1" applyAlignment="1">
      <x:alignment wrapText="1"/>
    </x:xf>
    <x:xf numFmtId="0" fontId="32" fillId="23" borderId="24" xfId="0" applyNumberFormat="1" applyFont="1" applyFill="1" applyBorder="1" applyAlignment="1">
      <x:alignment wrapText="1"/>
    </x:xf>
    <x:xf numFmtId="0" fontId="0" fillId="24" borderId="0" xfId="0" applyNumberFormat="1" applyFont="1" applyFill="1" applyBorder="1"/>
    <x:xf numFmtId="0" fontId="6" fillId="24" borderId="0" xfId="0" applyNumberFormat="1" applyFont="1" applyFill="1" applyBorder="1"/>
    <x:xf numFmtId="0" fontId="33" fillId="25" borderId="25" xfId="0" applyNumberFormat="1" applyFont="1" applyFill="1" applyBorder="1" applyAlignment="1">
      <x:alignment wrapText="1"/>
    </x:xf>
    <x:xf numFmtId="0" fontId="6" fillId="21" borderId="0" xfId="0" applyNumberFormat="1" applyFont="1" applyFill="1" applyBorder="1"/>
    <x:xf numFmtId="0" fontId="33" fillId="26" borderId="25" xfId="0" applyNumberFormat="1" applyFont="1" applyFill="1" applyBorder="1"/>
    <x:xf numFmtId="0" fontId="33" fillId="25" borderId="25" xfId="0" applyNumberFormat="1" applyFont="1" applyFill="1" applyBorder="1"/>
    <x:xf numFmtId="201" fontId="33" fillId="25" borderId="25" xfId="0" applyNumberFormat="1" applyFont="1" applyFill="1" applyBorder="1"/>
    <x:xf numFmtId="0" fontId="33" fillId="27" borderId="25" xfId="0" applyNumberFormat="1" applyFont="1" applyFill="1" applyBorder="1" applyAlignment="1">
      <x:alignment wrapText="1"/>
    </x:xf>
    <x:xf numFmtId="200" fontId="33" fillId="25" borderId="25" xfId="0" applyNumberFormat="1" applyFont="1" applyFill="1" applyBorder="1" applyAlignment="1">
      <x:alignment wrapText="1"/>
    </x:xf>
    <x:xf numFmtId="0" fontId="6" fillId="21" borderId="26" xfId="0" applyNumberFormat="1" applyFont="1" applyFill="1" applyBorder="1"/>
    <x:xf numFmtId="0" fontId="6" fillId="21" borderId="26" xfId="0" applyNumberFormat="1" applyFont="1" applyFill="1" applyBorder="1" applyAlignment="1">
      <x:alignment wrapText="1"/>
    </x:xf>
    <x:xf numFmtId="0" fontId="6" fillId="21" borderId="26" xfId="0" applyNumberFormat="1" applyFont="1" applyFill="1" applyBorder="1" applyAlignment="1">
      <x:alignment vertical="center" wrapText="1"/>
    </x:xf>
    <x:xf numFmtId="0" fontId="33" fillId="28" borderId="33" xfId="0" applyNumberFormat="1" applyFont="1" applyFill="1" applyBorder="1"/>
    <x:xf numFmtId="0" fontId="33" fillId="28" borderId="34" xfId="0" applyNumberFormat="1" applyFont="1" applyFill="1" applyBorder="1"/>
    <x:xf numFmtId="200" fontId="33" fillId="28" borderId="34" xfId="0" applyNumberFormat="1" applyFont="1" applyFill="1" applyBorder="1"/>
    <x:xf numFmtId="201" fontId="33" fillId="28" borderId="34" xfId="0" applyNumberFormat="1" applyFont="1" applyFill="1" applyBorder="1"/>
    <x:xf numFmtId="201" fontId="33" fillId="28" borderId="35" xfId="0" applyNumberFormat="1" applyFont="1" applyFill="1" applyBorder="1"/>
    <x:xf numFmtId="0" fontId="34" fillId="28" borderId="33" xfId="0" applyNumberFormat="1" applyFont="1" applyFill="1" applyBorder="1"/>
    <x:xf numFmtId="0" fontId="34" fillId="28" borderId="34" xfId="0" applyNumberFormat="1" applyFont="1" applyFill="1" applyBorder="1"/>
    <x:xf numFmtId="200" fontId="34" fillId="28" borderId="34" xfId="0" applyNumberFormat="1" applyFont="1" applyFill="1" applyBorder="1"/>
    <x:xf numFmtId="201" fontId="34" fillId="28" borderId="34" xfId="0" applyNumberFormat="1" applyFont="1" applyFill="1" applyBorder="1"/>
    <x:xf numFmtId="201" fontId="34" fillId="28" borderId="35" xfId="0" applyNumberFormat="1" applyFont="1" applyFill="1" applyBorder="1"/>
    <x:xf numFmtId="0" fontId="34" fillId="28" borderId="36" xfId="0" applyNumberFormat="1" applyFont="1" applyFill="1" applyBorder="1"/>
    <x:xf numFmtId="200" fontId="34" fillId="28" borderId="36" xfId="0" applyNumberFormat="1" applyFont="1" applyFill="1" applyBorder="1"/>
    <x:xf numFmtId="201" fontId="34" fillId="28" borderId="36" xfId="0" applyNumberFormat="1" applyFont="1" applyFill="1" applyBorder="1"/>
    <x:xf numFmtId="0" fontId="35" fillId="22" borderId="0" xfId="0" applyNumberFormat="1" applyFont="1" applyFill="1" applyBorder="1"/>
    <x:xf numFmtId="0" fontId="35" fillId="22" borderId="37" xfId="0" applyNumberFormat="1" applyFont="1" applyFill="1" applyBorder="1"/>
    <x:xf numFmtId="0" fontId="35" fillId="22" borderId="38" xfId="0" applyNumberFormat="1" applyFont="1" applyFill="1" applyBorder="1"/>
    <x:xf numFmtId="0" fontId="35" fillId="22" borderId="39" xfId="0" applyNumberFormat="1" applyFont="1" applyFill="1" applyBorder="1"/>
    <x:xf numFmtId="0" fontId="35" fillId="22" borderId="37" xfId="0" applyNumberFormat="1" applyFont="1" applyFill="1" applyBorder="1" applyAlignment="1">
      <x:alignment wrapText="1"/>
    </x:xf>
    <x:xf numFmtId="0" fontId="35" fillId="22" borderId="38" xfId="0" applyNumberFormat="1" applyFont="1" applyFill="1" applyBorder="1" applyAlignment="1">
      <x:alignment wrapText="1"/>
    </x:xf>
    <x:xf numFmtId="0" fontId="35" fillId="22" borderId="39" xfId="0" applyNumberFormat="1" applyFont="1" applyFill="1" applyBorder="1" applyAlignment="1">
      <x:alignment wrapText="1"/>
    </x:xf>
    <x:xf numFmtId="0" fontId="32" fillId="23" borderId="22" xfId="0" applyNumberFormat="1" applyFont="1" applyFill="1" applyBorder="1" applyAlignment="1">
      <x:alignment vertical="center" wrapText="1"/>
    </x:xf>
    <x:xf numFmtId="0" fontId="32" fillId="23" borderId="23" xfId="0" applyNumberFormat="1" applyFont="1" applyFill="1" applyBorder="1" applyAlignment="1">
      <x:alignment vertical="center" wrapText="1"/>
    </x:xf>
    <x:xf numFmtId="0" fontId="32" fillId="23" borderId="24" xfId="0" applyNumberFormat="1" applyFont="1" applyFill="1" applyBorder="1" applyAlignment="1">
      <x:alignment vertical="center" wrapText="1"/>
    </x:xf>
    <x:xf numFmtId="0" fontId="6" fillId="24" borderId="0" xfId="0" applyNumberFormat="1" applyFont="1" applyFill="1" applyBorder="1" applyAlignment="1">
      <x:alignment vertical="center"/>
    </x:xf>
    <x:xf numFmtId="0" fontId="6" fillId="21" borderId="0" xfId="0" applyNumberFormat="1" applyFont="1" applyFill="1" applyBorder="1" applyAlignment="1">
      <x:alignment vertical="center"/>
    </x:xf>
    <x:xf numFmtId="0" fontId="33" fillId="25" borderId="25" xfId="0" applyNumberFormat="1" applyFont="1" applyFill="1" applyBorder="1" applyAlignment="1">
      <x:alignment vertical="center" wrapText="1"/>
    </x:xf>
    <x:xf numFmtId="0" fontId="33" fillId="26" borderId="25" xfId="0" applyNumberFormat="1" applyFont="1" applyFill="1" applyBorder="1" applyAlignment="1">
      <x:alignment vertical="center"/>
    </x:xf>
    <x:xf numFmtId="201" fontId="33" fillId="25" borderId="25" xfId="0" applyNumberFormat="1" applyFont="1" applyFill="1" applyBorder="1" applyAlignment="1">
      <x:alignment vertical="center"/>
    </x:xf>
    <x:xf numFmtId="0" fontId="33" fillId="27" borderId="25" xfId="0" applyNumberFormat="1" applyFont="1" applyFill="1" applyBorder="1" applyAlignment="1">
      <x:alignment vertical="center" wrapText="1"/>
    </x:xf>
    <x:xf numFmtId="200" fontId="33" fillId="25" borderId="25" xfId="0" applyNumberFormat="1" applyFont="1" applyFill="1" applyBorder="1" applyAlignment="1">
      <x:alignment vertical="center" wrapText="1"/>
    </x:xf>
    <x:xf numFmtId="0" fontId="34" fillId="28" borderId="36" xfId="0" applyNumberFormat="1" applyFont="1" applyFill="1" applyBorder="1" applyAlignment="1">
      <x:alignment vertical="center"/>
    </x:xf>
    <x:xf numFmtId="200" fontId="34" fillId="28" borderId="36" xfId="0" applyNumberFormat="1" applyFont="1" applyFill="1" applyBorder="1" applyAlignment="1">
      <x:alignment vertical="center"/>
    </x:xf>
    <x:xf numFmtId="201" fontId="34" fillId="28" borderId="36" xfId="0" applyNumberFormat="1" applyFont="1" applyFill="1" applyBorder="1" applyAlignment="1">
      <x:alignment vertical="center"/>
    </x:xf>
    <x:xf numFmtId="0" fontId="35" fillId="22" borderId="37" xfId="0" applyNumberFormat="1" applyFont="1" applyFill="1" applyBorder="1" applyAlignment="1">
      <x:alignment vertical="center" wrapText="1"/>
    </x:xf>
    <x:xf numFmtId="0" fontId="35" fillId="22" borderId="38" xfId="0" applyNumberFormat="1" applyFont="1" applyFill="1" applyBorder="1" applyAlignment="1">
      <x:alignment vertical="center" wrapText="1"/>
    </x:xf>
    <x:xf numFmtId="0" fontId="35" fillId="22" borderId="39" xfId="0" applyNumberFormat="1" applyFont="1" applyFill="1" applyBorder="1" applyAlignment="1">
      <x:alignment vertical="center" wrapText="1"/>
    </x:xf>
    <x:xf numFmtId="0" fontId="36" fillId="21" borderId="0" xfId="0" applyNumberFormat="1" applyFont="1" applyFill="1" applyBorder="1" applyAlignment="1">
      <x:alignment vertical="center"/>
    </x:xf>
    <x:xf numFmtId="0" fontId="37" fillId="22" borderId="0" xfId="0" applyNumberFormat="1" applyFont="1" applyFill="1" applyBorder="1" applyAlignment="1">
      <x:alignment vertical="center" wrapText="1"/>
    </x:xf>
    <x:xf numFmtId="0" fontId="39" fillId="23" borderId="22" xfId="0" applyNumberFormat="1" applyFont="1" applyFill="1" applyBorder="1" applyAlignment="1">
      <x:alignment vertical="center" wrapText="1"/>
    </x:xf>
    <x:xf numFmtId="0" fontId="39" fillId="23" borderId="23" xfId="0" applyNumberFormat="1" applyFont="1" applyFill="1" applyBorder="1" applyAlignment="1">
      <x:alignment vertical="center" wrapText="1"/>
    </x:xf>
    <x:xf numFmtId="0" fontId="39" fillId="23" borderId="24" xfId="0" applyNumberFormat="1" applyFont="1" applyFill="1" applyBorder="1" applyAlignment="1">
      <x:alignment vertical="center" wrapText="1"/>
    </x:xf>
    <x:xf numFmtId="0" fontId="40" fillId="24" borderId="0" xfId="0" applyNumberFormat="1" applyFont="1" applyFill="1" applyBorder="1" applyAlignment="1">
      <x:alignment vertical="center"/>
    </x:xf>
    <x:xf numFmtId="0" fontId="40" fillId="21" borderId="0" xfId="0" applyNumberFormat="1" applyFont="1" applyFill="1" applyBorder="1" applyAlignment="1">
      <x:alignment vertical="center"/>
    </x:xf>
    <x:xf numFmtId="0" fontId="41" fillId="25" borderId="25" xfId="0" applyNumberFormat="1" applyFont="1" applyFill="1" applyBorder="1" applyAlignment="1">
      <x:alignment vertical="center" wrapText="1"/>
    </x:xf>
    <x:xf numFmtId="0" fontId="41" fillId="26" borderId="25" xfId="0" applyNumberFormat="1" applyFont="1" applyFill="1" applyBorder="1" applyAlignment="1">
      <x:alignment vertical="center"/>
    </x:xf>
    <x:xf numFmtId="201" fontId="41" fillId="25" borderId="25" xfId="0" applyNumberFormat="1" applyFont="1" applyFill="1" applyBorder="1" applyAlignment="1">
      <x:alignment vertical="center"/>
    </x:xf>
    <x:xf numFmtId="0" fontId="41" fillId="27" borderId="25" xfId="0" applyNumberFormat="1" applyFont="1" applyFill="1" applyBorder="1" applyAlignment="1">
      <x:alignment vertical="center" wrapText="1"/>
    </x:xf>
    <x:xf numFmtId="200" fontId="41" fillId="25" borderId="25" xfId="0" applyNumberFormat="1" applyFont="1" applyFill="1" applyBorder="1" applyAlignment="1">
      <x:alignment vertical="center" wrapText="1"/>
    </x:xf>
    <x:xf numFmtId="0" fontId="40" fillId="21" borderId="26" xfId="0" applyNumberFormat="1" applyFont="1" applyFill="1" applyBorder="1" applyAlignment="1">
      <x:alignment vertical="center" wrapText="1"/>
    </x:xf>
    <x:xf numFmtId="0" fontId="42" fillId="28" borderId="36" xfId="0" applyNumberFormat="1" applyFont="1" applyFill="1" applyBorder="1" applyAlignment="1">
      <x:alignment vertical="center"/>
    </x:xf>
    <x:xf numFmtId="200" fontId="42" fillId="28" borderId="36" xfId="0" applyNumberFormat="1" applyFont="1" applyFill="1" applyBorder="1" applyAlignment="1">
      <x:alignment vertical="center"/>
    </x:xf>
    <x:xf numFmtId="201" fontId="42" fillId="28" borderId="36" xfId="0" applyNumberFormat="1" applyFont="1" applyFill="1" applyBorder="1" applyAlignment="1">
      <x:alignment vertical="center"/>
    </x:xf>
    <x:xf numFmtId="0" fontId="43" fillId="22" borderId="37" xfId="0" applyNumberFormat="1" applyFont="1" applyFill="1" applyBorder="1" applyAlignment="1">
      <x:alignment vertical="center" wrapText="1"/>
    </x:xf>
    <x:xf numFmtId="0" fontId="43" fillId="22" borderId="38" xfId="0" applyNumberFormat="1" applyFont="1" applyFill="1" applyBorder="1" applyAlignment="1">
      <x:alignment vertical="center" wrapText="1"/>
    </x:xf>
    <x:xf numFmtId="0" fontId="43" fillId="22" borderId="39" xfId="0" applyNumberFormat="1" applyFont="1" applyFill="1" applyBorder="1" applyAlignment="1">
      <x:alignment vertical="center" wrapText="1"/>
    </x:xf>
    <x:xf numFmtId="0" fontId="44" fillId="27" borderId="25" xfId="0" applyNumberFormat="1" applyFont="1" applyFill="1" applyBorder="1" applyAlignment="1">
      <x:alignment wrapText="1"/>
    </x:xf>
    <x:xf numFmtId="0" fontId="0" fillId="29" borderId="0" xfId="0" applyNumberFormat="1" applyFont="1" applyFill="1" applyBorder="1"/>
    <x:xf numFmtId="0" fontId="1" fillId="29" borderId="0" xfId="0" applyNumberFormat="1" applyFont="1" applyFill="1" applyBorder="1"/>
    <x:xf numFmtId="0" fontId="1" fillId="29" borderId="0" xfId="0" applyNumberFormat="1" applyFont="1" applyFill="1" applyBorder="1" applyAlignment="1">
      <x:alignment vertical="center"/>
    </x:xf>
    <x:xf numFmtId="0" fontId="0" fillId="30" borderId="0" xfId="0" applyNumberFormat="1" applyFont="1" applyFill="1" applyBorder="1"/>
    <x:xf numFmtId="0" fontId="31" fillId="30" borderId="0" xfId="0" applyNumberFormat="1" applyFont="1" applyFill="1" applyBorder="1"/>
    <x:xf numFmtId="0" fontId="31" fillId="30" borderId="0" xfId="0" applyNumberFormat="1" applyFont="1" applyFill="1" applyBorder="1" applyAlignment="1">
      <x:alignment wrapText="1"/>
    </x:xf>
    <x:xf numFmtId="0" fontId="31" fillId="30" borderId="0" xfId="0" applyNumberFormat="1" applyFont="1" applyFill="1" applyBorder="1" applyAlignment="1">
      <x:alignment vertical="center" wrapText="1"/>
    </x:xf>
    <x:xf numFmtId="0" fontId="0" fillId="31" borderId="0" xfId="0" applyNumberFormat="1" applyFont="1" applyFill="1" applyBorder="1"/>
    <x:xf numFmtId="0" fontId="32" fillId="31" borderId="0" xfId="0" applyNumberFormat="1" applyFont="1" applyFill="1" applyBorder="1"/>
    <x:xf numFmtId="0" fontId="32" fillId="31" borderId="22" xfId="0" applyNumberFormat="1" applyFont="1" applyFill="1" applyBorder="1"/>
    <x:xf numFmtId="0" fontId="32" fillId="31" borderId="23" xfId="0" applyNumberFormat="1" applyFont="1" applyFill="1" applyBorder="1"/>
    <x:xf numFmtId="0" fontId="32" fillId="31" borderId="24" xfId="0" applyNumberFormat="1" applyFont="1" applyFill="1" applyBorder="1"/>
    <x:xf numFmtId="0" fontId="32" fillId="31" borderId="22" xfId="0" applyNumberFormat="1" applyFont="1" applyFill="1" applyBorder="1" applyAlignment="1">
      <x:alignment wrapText="1"/>
    </x:xf>
    <x:xf numFmtId="0" fontId="32" fillId="31" borderId="23" xfId="0" applyNumberFormat="1" applyFont="1" applyFill="1" applyBorder="1" applyAlignment="1">
      <x:alignment wrapText="1"/>
    </x:xf>
    <x:xf numFmtId="0" fontId="32" fillId="31" borderId="24" xfId="0" applyNumberFormat="1" applyFont="1" applyFill="1" applyBorder="1" applyAlignment="1">
      <x:alignment wrapText="1"/>
    </x:xf>
    <x:xf numFmtId="0" fontId="0" fillId="32" borderId="0" xfId="0" applyNumberFormat="1" applyFont="1" applyFill="1" applyBorder="1"/>
    <x:xf numFmtId="0" fontId="6" fillId="32" borderId="0" xfId="0" applyNumberFormat="1" applyFont="1" applyFill="1" applyBorder="1"/>
    <x:xf numFmtId="0" fontId="33" fillId="33" borderId="25" xfId="0" applyNumberFormat="1" applyFont="1" applyFill="1" applyBorder="1" applyAlignment="1">
      <x:alignment wrapText="1"/>
    </x:xf>
    <x:xf numFmtId="0" fontId="6" fillId="29" borderId="0" xfId="0" applyNumberFormat="1" applyFont="1" applyFill="1" applyBorder="1"/>
    <x:xf numFmtId="0" fontId="33" fillId="34" borderId="25" xfId="0" applyNumberFormat="1" applyFont="1" applyFill="1" applyBorder="1"/>
    <x:xf numFmtId="0" fontId="33" fillId="33" borderId="25" xfId="0" applyNumberFormat="1" applyFont="1" applyFill="1" applyBorder="1"/>
    <x:xf numFmtId="201" fontId="33" fillId="33" borderId="25" xfId="0" applyNumberFormat="1" applyFont="1" applyFill="1" applyBorder="1"/>
    <x:xf numFmtId="0" fontId="33" fillId="35" borderId="25" xfId="0" applyNumberFormat="1" applyFont="1" applyFill="1" applyBorder="1" applyAlignment="1">
      <x:alignment wrapText="1"/>
    </x:xf>
    <x:xf numFmtId="200" fontId="33" fillId="33" borderId="25" xfId="0" applyNumberFormat="1" applyFont="1" applyFill="1" applyBorder="1" applyAlignment="1">
      <x:alignment wrapText="1"/>
    </x:xf>
    <x:xf numFmtId="0" fontId="6" fillId="29" borderId="26" xfId="0" applyNumberFormat="1" applyFont="1" applyFill="1" applyBorder="1"/>
    <x:xf numFmtId="0" fontId="6" fillId="29" borderId="26" xfId="0" applyNumberFormat="1" applyFont="1" applyFill="1" applyBorder="1" applyAlignment="1">
      <x:alignment wrapText="1"/>
    </x:xf>
    <x:xf numFmtId="0" fontId="6" fillId="29" borderId="26" xfId="0" applyNumberFormat="1" applyFont="1" applyFill="1" applyBorder="1" applyAlignment="1">
      <x:alignment vertical="center" wrapText="1"/>
    </x:xf>
    <x:xf numFmtId="0" fontId="33" fillId="36" borderId="33" xfId="0" applyNumberFormat="1" applyFont="1" applyFill="1" applyBorder="1"/>
    <x:xf numFmtId="0" fontId="33" fillId="36" borderId="34" xfId="0" applyNumberFormat="1" applyFont="1" applyFill="1" applyBorder="1"/>
    <x:xf numFmtId="200" fontId="33" fillId="36" borderId="34" xfId="0" applyNumberFormat="1" applyFont="1" applyFill="1" applyBorder="1"/>
    <x:xf numFmtId="201" fontId="33" fillId="36" borderId="34" xfId="0" applyNumberFormat="1" applyFont="1" applyFill="1" applyBorder="1"/>
    <x:xf numFmtId="201" fontId="33" fillId="36" borderId="35" xfId="0" applyNumberFormat="1" applyFont="1" applyFill="1" applyBorder="1"/>
    <x:xf numFmtId="0" fontId="34" fillId="36" borderId="33" xfId="0" applyNumberFormat="1" applyFont="1" applyFill="1" applyBorder="1"/>
    <x:xf numFmtId="0" fontId="34" fillId="36" borderId="34" xfId="0" applyNumberFormat="1" applyFont="1" applyFill="1" applyBorder="1"/>
    <x:xf numFmtId="200" fontId="34" fillId="36" borderId="34" xfId="0" applyNumberFormat="1" applyFont="1" applyFill="1" applyBorder="1"/>
    <x:xf numFmtId="201" fontId="34" fillId="36" borderId="34" xfId="0" applyNumberFormat="1" applyFont="1" applyFill="1" applyBorder="1"/>
    <x:xf numFmtId="201" fontId="34" fillId="36" borderId="35" xfId="0" applyNumberFormat="1" applyFont="1" applyFill="1" applyBorder="1"/>
    <x:xf numFmtId="0" fontId="34" fillId="36" borderId="36" xfId="0" applyNumberFormat="1" applyFont="1" applyFill="1" applyBorder="1"/>
    <x:xf numFmtId="200" fontId="34" fillId="36" borderId="36" xfId="0" applyNumberFormat="1" applyFont="1" applyFill="1" applyBorder="1"/>
    <x:xf numFmtId="201" fontId="34" fillId="36" borderId="36" xfId="0" applyNumberFormat="1" applyFont="1" applyFill="1" applyBorder="1"/>
    <x:xf numFmtId="0" fontId="35" fillId="30" borderId="0" xfId="0" applyNumberFormat="1" applyFont="1" applyFill="1" applyBorder="1"/>
    <x:xf numFmtId="0" fontId="35" fillId="30" borderId="37" xfId="0" applyNumberFormat="1" applyFont="1" applyFill="1" applyBorder="1"/>
    <x:xf numFmtId="0" fontId="35" fillId="30" borderId="38" xfId="0" applyNumberFormat="1" applyFont="1" applyFill="1" applyBorder="1"/>
    <x:xf numFmtId="0" fontId="35" fillId="30" borderId="39" xfId="0" applyNumberFormat="1" applyFont="1" applyFill="1" applyBorder="1"/>
    <x:xf numFmtId="0" fontId="35" fillId="30" borderId="37" xfId="0" applyNumberFormat="1" applyFont="1" applyFill="1" applyBorder="1" applyAlignment="1">
      <x:alignment wrapText="1"/>
    </x:xf>
    <x:xf numFmtId="0" fontId="35" fillId="30" borderId="38" xfId="0" applyNumberFormat="1" applyFont="1" applyFill="1" applyBorder="1" applyAlignment="1">
      <x:alignment wrapText="1"/>
    </x:xf>
    <x:xf numFmtId="0" fontId="35" fillId="30" borderId="39" xfId="0" applyNumberFormat="1" applyFont="1" applyFill="1" applyBorder="1" applyAlignment="1">
      <x:alignment wrapText="1"/>
    </x:xf>
    <x:xf numFmtId="0" fontId="32" fillId="31" borderId="22" xfId="0" applyNumberFormat="1" applyFont="1" applyFill="1" applyBorder="1" applyAlignment="1">
      <x:alignment vertical="center" wrapText="1"/>
    </x:xf>
    <x:xf numFmtId="0" fontId="32" fillId="31" borderId="23" xfId="0" applyNumberFormat="1" applyFont="1" applyFill="1" applyBorder="1" applyAlignment="1">
      <x:alignment vertical="center" wrapText="1"/>
    </x:xf>
    <x:xf numFmtId="0" fontId="32" fillId="31" borderId="24" xfId="0" applyNumberFormat="1" applyFont="1" applyFill="1" applyBorder="1" applyAlignment="1">
      <x:alignment vertical="center" wrapText="1"/>
    </x:xf>
    <x:xf numFmtId="0" fontId="6" fillId="32" borderId="0" xfId="0" applyNumberFormat="1" applyFont="1" applyFill="1" applyBorder="1" applyAlignment="1">
      <x:alignment vertical="center"/>
    </x:xf>
    <x:xf numFmtId="0" fontId="6" fillId="29" borderId="0" xfId="0" applyNumberFormat="1" applyFont="1" applyFill="1" applyBorder="1" applyAlignment="1">
      <x:alignment vertical="center"/>
    </x:xf>
    <x:xf numFmtId="0" fontId="33" fillId="33" borderId="25" xfId="0" applyNumberFormat="1" applyFont="1" applyFill="1" applyBorder="1" applyAlignment="1">
      <x:alignment vertical="center" wrapText="1"/>
    </x:xf>
    <x:xf numFmtId="0" fontId="33" fillId="34" borderId="25" xfId="0" applyNumberFormat="1" applyFont="1" applyFill="1" applyBorder="1" applyAlignment="1">
      <x:alignment vertical="center"/>
    </x:xf>
    <x:xf numFmtId="201" fontId="33" fillId="33" borderId="25" xfId="0" applyNumberFormat="1" applyFont="1" applyFill="1" applyBorder="1" applyAlignment="1">
      <x:alignment vertical="center"/>
    </x:xf>
    <x:xf numFmtId="0" fontId="33" fillId="35" borderId="25" xfId="0" applyNumberFormat="1" applyFont="1" applyFill="1" applyBorder="1" applyAlignment="1">
      <x:alignment vertical="center" wrapText="1"/>
    </x:xf>
    <x:xf numFmtId="200" fontId="33" fillId="33" borderId="25" xfId="0" applyNumberFormat="1" applyFont="1" applyFill="1" applyBorder="1" applyAlignment="1">
      <x:alignment vertical="center" wrapText="1"/>
    </x:xf>
    <x:xf numFmtId="0" fontId="34" fillId="36" borderId="36" xfId="0" applyNumberFormat="1" applyFont="1" applyFill="1" applyBorder="1" applyAlignment="1">
      <x:alignment vertical="center"/>
    </x:xf>
    <x:xf numFmtId="200" fontId="34" fillId="36" borderId="36" xfId="0" applyNumberFormat="1" applyFont="1" applyFill="1" applyBorder="1" applyAlignment="1">
      <x:alignment vertical="center"/>
    </x:xf>
    <x:xf numFmtId="201" fontId="34" fillId="36" borderId="36" xfId="0" applyNumberFormat="1" applyFont="1" applyFill="1" applyBorder="1" applyAlignment="1">
      <x:alignment vertical="center"/>
    </x:xf>
    <x:xf numFmtId="0" fontId="35" fillId="30" borderId="37" xfId="0" applyNumberFormat="1" applyFont="1" applyFill="1" applyBorder="1" applyAlignment="1">
      <x:alignment vertical="center" wrapText="1"/>
    </x:xf>
    <x:xf numFmtId="0" fontId="35" fillId="30" borderId="38" xfId="0" applyNumberFormat="1" applyFont="1" applyFill="1" applyBorder="1" applyAlignment="1">
      <x:alignment vertical="center" wrapText="1"/>
    </x:xf>
    <x:xf numFmtId="0" fontId="35" fillId="30" borderId="39" xfId="0" applyNumberFormat="1" applyFont="1" applyFill="1" applyBorder="1" applyAlignment="1">
      <x:alignment vertical="center" wrapText="1"/>
    </x:xf>
    <x:xf numFmtId="0" fontId="36" fillId="29" borderId="0" xfId="0" applyNumberFormat="1" applyFont="1" applyFill="1" applyBorder="1" applyAlignment="1">
      <x:alignment vertical="center"/>
    </x:xf>
    <x:xf numFmtId="0" fontId="37" fillId="30" borderId="0" xfId="0" applyNumberFormat="1" applyFont="1" applyFill="1" applyBorder="1" applyAlignment="1">
      <x:alignment vertical="center" wrapText="1"/>
    </x:xf>
    <x:xf numFmtId="0" fontId="39" fillId="31" borderId="22" xfId="0" applyNumberFormat="1" applyFont="1" applyFill="1" applyBorder="1" applyAlignment="1">
      <x:alignment vertical="center" wrapText="1"/>
    </x:xf>
    <x:xf numFmtId="0" fontId="39" fillId="31" borderId="23" xfId="0" applyNumberFormat="1" applyFont="1" applyFill="1" applyBorder="1" applyAlignment="1">
      <x:alignment vertical="center" wrapText="1"/>
    </x:xf>
    <x:xf numFmtId="0" fontId="39" fillId="31" borderId="24" xfId="0" applyNumberFormat="1" applyFont="1" applyFill="1" applyBorder="1" applyAlignment="1">
      <x:alignment vertical="center" wrapText="1"/>
    </x:xf>
    <x:xf numFmtId="0" fontId="40" fillId="32" borderId="0" xfId="0" applyNumberFormat="1" applyFont="1" applyFill="1" applyBorder="1" applyAlignment="1">
      <x:alignment vertical="center"/>
    </x:xf>
    <x:xf numFmtId="0" fontId="40" fillId="29" borderId="0" xfId="0" applyNumberFormat="1" applyFont="1" applyFill="1" applyBorder="1" applyAlignment="1">
      <x:alignment vertical="center"/>
    </x:xf>
    <x:xf numFmtId="0" fontId="41" fillId="33" borderId="25" xfId="0" applyNumberFormat="1" applyFont="1" applyFill="1" applyBorder="1" applyAlignment="1">
      <x:alignment vertical="center" wrapText="1"/>
    </x:xf>
    <x:xf numFmtId="0" fontId="41" fillId="34" borderId="25" xfId="0" applyNumberFormat="1" applyFont="1" applyFill="1" applyBorder="1" applyAlignment="1">
      <x:alignment vertical="center"/>
    </x:xf>
    <x:xf numFmtId="201" fontId="41" fillId="33" borderId="25" xfId="0" applyNumberFormat="1" applyFont="1" applyFill="1" applyBorder="1" applyAlignment="1">
      <x:alignment vertical="center"/>
    </x:xf>
    <x:xf numFmtId="0" fontId="41" fillId="35" borderId="25" xfId="0" applyNumberFormat="1" applyFont="1" applyFill="1" applyBorder="1" applyAlignment="1">
      <x:alignment vertical="center" wrapText="1"/>
    </x:xf>
    <x:xf numFmtId="200" fontId="41" fillId="33" borderId="25" xfId="0" applyNumberFormat="1" applyFont="1" applyFill="1" applyBorder="1" applyAlignment="1">
      <x:alignment vertical="center" wrapText="1"/>
    </x:xf>
    <x:xf numFmtId="0" fontId="40" fillId="29" borderId="26" xfId="0" applyNumberFormat="1" applyFont="1" applyFill="1" applyBorder="1" applyAlignment="1">
      <x:alignment vertical="center" wrapText="1"/>
    </x:xf>
    <x:xf numFmtId="0" fontId="42" fillId="36" borderId="36" xfId="0" applyNumberFormat="1" applyFont="1" applyFill="1" applyBorder="1" applyAlignment="1">
      <x:alignment vertical="center"/>
    </x:xf>
    <x:xf numFmtId="200" fontId="42" fillId="36" borderId="36" xfId="0" applyNumberFormat="1" applyFont="1" applyFill="1" applyBorder="1" applyAlignment="1">
      <x:alignment vertical="center"/>
    </x:xf>
    <x:xf numFmtId="201" fontId="42" fillId="36" borderId="36" xfId="0" applyNumberFormat="1" applyFont="1" applyFill="1" applyBorder="1" applyAlignment="1">
      <x:alignment vertical="center"/>
    </x:xf>
    <x:xf numFmtId="0" fontId="43" fillId="30" borderId="37" xfId="0" applyNumberFormat="1" applyFont="1" applyFill="1" applyBorder="1" applyAlignment="1">
      <x:alignment vertical="center" wrapText="1"/>
    </x:xf>
    <x:xf numFmtId="0" fontId="43" fillId="30" borderId="38" xfId="0" applyNumberFormat="1" applyFont="1" applyFill="1" applyBorder="1" applyAlignment="1">
      <x:alignment vertical="center" wrapText="1"/>
    </x:xf>
    <x:xf numFmtId="0" fontId="43" fillId="30" borderId="39" xfId="0" applyNumberFormat="1" applyFont="1" applyFill="1" applyBorder="1" applyAlignment="1">
      <x:alignment vertical="center" wrapText="1"/>
    </x:xf>
    <x:xf numFmtId="0" fontId="44" fillId="35" borderId="25" xfId="0" applyNumberFormat="1" applyFont="1" applyFill="1" applyBorder="1" applyAlignment="1">
      <x:alignment wrapText="1"/>
    </x:xf>
  </x:cellXfs>
  <x:cellStyles count="1">
    <x:cellStyle name="Normal" xfId="0"/>
  </x:cellStyles>
  <x:dxfs count="7">
    <x:dxf>
      <x:font>
        <x:b/>
        <x:color rgb="FF375623"/>
      </x:font>
      <x:fill>
        <x:patternFill>
          <x:bgColor rgb="FFE2F0D9"/>
        </x:patternFill>
      </x:fill>
    </x:dxf>
    <x:dxf>
      <x:font>
        <x:color rgb="FF666666"/>
      </x:font>
      <x:fill>
        <x:patternFill>
          <x:bgColor rgb="FFE7E6E6"/>
        </x:patternFill>
      </x:fill>
    </x:dxf>
    <x:dxf>
      <x:font>
        <x:b/>
        <x:color rgb="FF375623"/>
      </x:font>
      <x:fill>
        <x:patternFill>
          <x:bgColor rgb="FFE2F0D9"/>
        </x:patternFill>
      </x:fill>
    </x:dxf>
    <x:dxf>
      <x:font>
        <x:b/>
        <x:color rgb="FF9C0006"/>
      </x:font>
      <x:fill>
        <x:patternFill>
          <x:bgColor rgb="FFFFC7CE"/>
        </x:patternFill>
      </x:fill>
    </x:dxf>
    <x:dxf>
      <x:fill>
        <x:patternFill>
          <x:bgColor rgb="FFF5F8FA"/>
        </x:patternFill>
      </x:fill>
    </x:dxf>
    <x:dxf>
      <x:fill>
        <x:patternFill>
          <x:bgColor rgb="FFF5F8FA"/>
        </x:patternFill>
      </x:fill>
    </x:dxf>
    <x:dxf>
      <x:fill>
        <x:patternFill patternType="solid">
          <x:bgColor rgb="FFF5F8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e51a2a0a74917" /><Relationship Type="http://schemas.openxmlformats.org/officeDocument/2006/relationships/theme" Target="/xl/theme/theme1.xml" Id="Rba9c54ce99b74811" /><Relationship Type="http://schemas.openxmlformats.org/officeDocument/2006/relationships/sharedStrings" Target="/xl/sharedStrings.xml" Id="R89879df9f10d4b96" /><Relationship Type="http://schemas.openxmlformats.org/officeDocument/2006/relationships/worksheet" Target="/xl/worksheets/sheet1.xml" Id="R511fe6e788e64604" /><Relationship Type="http://schemas.openxmlformats.org/officeDocument/2006/relationships/worksheet" Target="/xl/worksheets/sheet2.xml" Id="Rcaec3bfc92c945cd" /><Relationship Type="http://schemas.openxmlformats.org/officeDocument/2006/relationships/worksheet" Target="/xl/worksheets/sheet3.xml" Id="R2b7fa0a5e0f74922" /><Relationship Type="http://schemas.openxmlformats.org/officeDocument/2006/relationships/worksheet" Target="/xl/worksheets/sheet4.xml" Id="R5161aed75fb74d99" /><Relationship Type="http://schemas.openxmlformats.org/officeDocument/2006/relationships/worksheet" Target="/xl/worksheets/sheet5.xml" Id="R6e4c560741754189" /><Relationship Type="http://schemas.openxmlformats.org/officeDocument/2006/relationships/worksheet" Target="/xl/worksheets/sheet6.xml" Id="Re80d208b58394869" /><Relationship Type="http://schemas.openxmlformats.org/officeDocument/2006/relationships/worksheet" Target="/xl/worksheets/sheet7.xml" Id="R789b166a51a7410c" /><Relationship Type="http://schemas.openxmlformats.org/officeDocument/2006/relationships/worksheet" Target="/xl/worksheets/sheet8.xml" Id="R5c2d0a4f34d0449b" /><Relationship Type="http://schemas.openxmlformats.org/officeDocument/2006/relationships/worksheet" Target="/xl/worksheets/sheet9.xml" Id="R6493f37c8f4f4343" /><Relationship Type="http://schemas.openxmlformats.org/officeDocument/2006/relationships/worksheet" Target="/xl/worksheets/sheet10.xml" Id="Ra9ba7f73da5e4dfe" /><Relationship Type="http://schemas.openxmlformats.org/officeDocument/2006/relationships/worksheet" Target="/xl/worksheets/sheet11.xml" Id="Rd349e824b65c4eff" /><Relationship Type="http://schemas.microsoft.com/office/2017/10/relationships/person" Target="/xl/persons/person.xml" Id="R2a60b6de2ab14600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e17c4dc35a744322" /><Relationship Type="http://schemas.openxmlformats.org/officeDocument/2006/relationships/chart" Target="/xl/drawings/charts/chart2.xml" Id="R02124c6d2adf4a7f" /><Relationship Type="http://schemas.openxmlformats.org/officeDocument/2006/relationships/chart" Target="/xl/drawings/charts/chart3.xml" Id="R1d99aae1a86c465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Actual Annual Value, Then-Year Dollars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lineChart>
        <c:grouping val="standard"/>
        <c:varyColors val="0"/>
        <c:ser>
          <c:idx val="0"/>
          <c:order val="0"/>
          <c:tx>
            <c:v>GS-7 step 1</c:v>
          </c:tx>
          <c:spPr>
            <a:ln xmlns:a="http://schemas.openxmlformats.org/drawingml/2006/main" w="19050">
              <a:solidFill>
                <a:srgbClr val="1F4E78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Data'!$B$6:$B$32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GS-9 step 1</c:v>
          </c:tx>
          <c:spPr>
            <a:ln xmlns:a="http://schemas.openxmlformats.org/drawingml/2006/main" w="19050">
              <a:solidFill>
                <a:srgbClr val="2F75B5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Data'!$C$6:$C$32</c:f>
              <c:numCache>
                <c:formatCode>$#,##0</c:formatCode>
                <c:ptCount val="0"/>
              </c:numCache>
            </c:numRef>
          </c:val>
        </c:ser>
        <c:ser>
          <c:idx val="2"/>
          <c:order val="2"/>
          <c:tx>
            <c:v>GS-11 step 1</c:v>
          </c:tx>
          <c:spPr>
            <a:ln xmlns:a="http://schemas.openxmlformats.org/drawingml/2006/main" w="19050">
              <a:solidFill>
                <a:srgbClr val="5B9BD5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Data'!$D$6:$D$32</c:f>
              <c:numCache>
                <c:formatCode>$#,##0</c:formatCode>
                <c:ptCount val="0"/>
              </c:numCache>
            </c:numRef>
          </c:val>
        </c:ser>
        <c:ser>
          <c:idx val="3"/>
          <c:order val="3"/>
          <c:tx>
            <c:v>GS-12 step 1</c:v>
          </c:tx>
          <c:spPr>
            <a:ln xmlns:a="http://schemas.openxmlformats.org/drawingml/2006/main" w="19050">
              <a:solidFill>
                <a:srgbClr val="4472C4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Data'!$E$6:$E$32</c:f>
              <c:numCache>
                <c:formatCode>$#,##0</c:formatCode>
                <c:ptCount val="0"/>
              </c:numCache>
            </c:numRef>
          </c:val>
        </c:ser>
        <c:ser>
          <c:idx val="4"/>
          <c:order val="4"/>
          <c:tx>
            <c:v>GS-13 step 1</c:v>
          </c:tx>
          <c:spPr>
            <a:ln xmlns:a="http://schemas.openxmlformats.org/drawingml/2006/main" w="19050">
              <a:solidFill>
                <a:srgbClr val="00A6D6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Data'!$F$6:$F$32</c:f>
              <c:numCache>
                <c:formatCode>$#,##0</c:formatCode>
                <c:ptCount val="0"/>
              </c:numCache>
            </c:numRef>
          </c:val>
        </c:ser>
        <c:ser>
          <c:idx val="5"/>
          <c:order val="5"/>
          <c:tx>
            <c:v>GS-13 step 10</c:v>
          </c:tx>
          <c:spPr>
            <a:ln xmlns:a="http://schemas.openxmlformats.org/drawingml/2006/main" w="19050">
              <a:solidFill>
                <a:srgbClr val="264478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Data'!$G$6:$G$32</c:f>
              <c:numCache>
                <c:formatCode>$#,##0</c:formatCode>
                <c:ptCount val="0"/>
              </c:numCache>
            </c:numRef>
          </c:val>
        </c:ser>
        <c:ser>
          <c:idx val="6"/>
          <c:order val="6"/>
          <c:tx>
            <c:v>GS-14 step 1</c:v>
          </c:tx>
          <c:spPr>
            <a:ln xmlns:a="http://schemas.openxmlformats.org/drawingml/2006/main" w="19050">
              <a:solidFill>
                <a:srgbClr val="8064A2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Data'!$H$6:$H$32</c:f>
              <c:numCache>
                <c:formatCode>$#,##0</c:formatCode>
                <c:ptCount val="0"/>
              </c:numCache>
            </c:numRef>
          </c:val>
        </c:ser>
        <c:ser>
          <c:idx val="7"/>
          <c:order val="7"/>
          <c:tx>
            <c:v>GS-15 step 1</c:v>
          </c:tx>
          <c:spPr>
            <a:ln xmlns:a="http://schemas.openxmlformats.org/drawingml/2006/main" w="19050">
              <a:solidFill>
                <a:srgbClr val="7F8FA6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Data'!$I$6:$I$32</c:f>
              <c:numCache>
                <c:formatCode>$#,##0</c:formatCode>
                <c:ptCount val="0"/>
              </c:numCache>
            </c:numRef>
          </c:val>
        </c:ser>
        <c:ser>
          <c:idx val="8"/>
          <c:order val="8"/>
          <c:tx>
            <c:v>GS-15 step 10</c:v>
          </c:tx>
          <c:spPr>
            <a:ln xmlns:a="http://schemas.openxmlformats.org/drawingml/2006/main" w="19050">
              <a:solidFill>
                <a:srgbClr val="4F81BD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Data'!$J$6:$J$32</c:f>
              <c:numCache>
                <c:formatCode>$#,##0</c:formatCode>
                <c:ptCount val="0"/>
              </c:numCache>
            </c:numRef>
          </c:val>
        </c:ser>
        <c:ser>
          <c:idx val="9"/>
          <c:order val="9"/>
          <c:tx>
            <c:v>O-1</c:v>
          </c:tx>
          <c:spPr>
            <a:ln xmlns:a="http://schemas.openxmlformats.org/drawingml/2006/main" w="19050">
              <a:solidFill>
                <a:srgbClr val="ED7D31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Data'!$K$6:$K$32</c:f>
              <c:numCache>
                <c:formatCode>$#,##0</c:formatCode>
                <c:ptCount val="0"/>
              </c:numCache>
            </c:numRef>
          </c:val>
        </c:ser>
        <c:ser>
          <c:idx val="10"/>
          <c:order val="10"/>
          <c:tx>
            <c:v>O-2</c:v>
          </c:tx>
          <c:spPr>
            <a:ln xmlns:a="http://schemas.openxmlformats.org/drawingml/2006/main" w="19050">
              <a:solidFill>
                <a:srgbClr val="F4B183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Data'!$L$6:$L$32</c:f>
              <c:numCache>
                <c:formatCode>$#,##0</c:formatCode>
                <c:ptCount val="0"/>
              </c:numCache>
            </c:numRef>
          </c:val>
        </c:ser>
        <c:ser>
          <c:idx val="11"/>
          <c:order val="11"/>
          <c:tx>
            <c:v>O-3</c:v>
          </c:tx>
          <c:spPr>
            <a:ln xmlns:a="http://schemas.openxmlformats.org/drawingml/2006/main" w="19050">
              <a:solidFill>
                <a:srgbClr val="C55A11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Data'!$M$6:$M$32</c:f>
              <c:numCache>
                <c:formatCode>$#,##0</c:formatCode>
                <c:ptCount val="0"/>
              </c:numCache>
            </c:numRef>
          </c:val>
        </c:ser>
        <c:ser>
          <c:idx val="12"/>
          <c:order val="12"/>
          <c:tx>
            <c:v>O-4</c:v>
          </c:tx>
          <c:spPr>
            <a:ln xmlns:a="http://schemas.openxmlformats.org/drawingml/2006/main" w="19050">
              <a:solidFill>
                <a:srgbClr val="A61C00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Data'!$N$6:$N$32</c:f>
              <c:numCache>
                <c:formatCode>$#,##0</c:formatCode>
                <c:ptCount val="0"/>
              </c:numCache>
            </c:numRef>
          </c:val>
        </c:ser>
        <c:ser>
          <c:idx val="13"/>
          <c:order val="13"/>
          <c:tx>
            <c:v>O-5</c:v>
          </c:tx>
          <c:spPr>
            <a:ln xmlns:a="http://schemas.openxmlformats.org/drawingml/2006/main" w="19050">
              <a:solidFill>
                <a:srgbClr val="A64D79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Data'!$O$6:$O$32</c:f>
              <c:numCache>
                <c:formatCode>$#,##0</c:formatCode>
                <c:ptCount val="0"/>
              </c:numCache>
            </c:numRef>
          </c:val>
        </c:ser>
        <c:ser>
          <c:idx val="14"/>
          <c:order val="14"/>
          <c:tx>
            <c:v>O-6</c:v>
          </c:tx>
          <c:spPr>
            <a:ln xmlns:a="http://schemas.openxmlformats.org/drawingml/2006/main" w="1905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Data'!$P$6:$P$32</c:f>
              <c:numCache>
                <c:formatCode>$#,##0</c:formatCode>
                <c:ptCount val="0"/>
              </c:numCache>
            </c:numRef>
          </c:val>
        </c:ser>
        <c:ser>
          <c:idx val="15"/>
          <c:order val="15"/>
          <c:tx>
            <c:v>Average private wage</c:v>
          </c:tx>
          <c:spPr>
            <a:ln xmlns:a="http://schemas.openxmlformats.org/drawingml/2006/main" w="19050">
              <a:solidFill>
                <a:srgbClr val="548235"/>
              </a:solidFill>
              <a:prstDash val="solid"/>
            </a:ln>
          </c:spPr>
          <c:marker>
            <c:symbol val="none"/>
          </c:marker>
          <c:cat>
            <c:strRef>
              <c:f>'Chart Data'!$A$6:$A$32</c:f>
              <c:strCache>
                <c:ptCount val="0"/>
              </c:strCache>
            </c:strRef>
          </c:cat>
          <c:val>
            <c:numRef>
              <c:f>'Chart Data'!$Q$6:$Q$32</c:f>
              <c:numCache>
                <c:formatCode>$#,##0</c:formatCode>
                <c:ptCount val="0"/>
              </c:numCache>
            </c:numRef>
          </c:val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Growth Since 2001 (2001 = 100)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lineChart>
        <c:grouping val="standard"/>
        <c:varyColors val="0"/>
        <c:ser>
          <c:idx val="0"/>
          <c:order val="0"/>
          <c:tx>
            <c:v>GS-7 step 1</c:v>
          </c:tx>
          <c:spPr>
            <a:ln xmlns:a="http://schemas.openxmlformats.org/drawingml/2006/main" w="19050">
              <a:solidFill>
                <a:srgbClr val="1F4E78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Data'!$B$37:$B$63</c:f>
              <c:numCache>
                <c:formatCode>0.0</c:formatCode>
                <c:ptCount val="0"/>
              </c:numCache>
            </c:numRef>
          </c:val>
        </c:ser>
        <c:ser>
          <c:idx val="1"/>
          <c:order val="1"/>
          <c:tx>
            <c:v>GS-9 step 1</c:v>
          </c:tx>
          <c:spPr>
            <a:ln xmlns:a="http://schemas.openxmlformats.org/drawingml/2006/main" w="19050">
              <a:solidFill>
                <a:srgbClr val="2F75B5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Data'!$C$37:$C$63</c:f>
              <c:numCache>
                <c:formatCode>0.0</c:formatCode>
                <c:ptCount val="0"/>
              </c:numCache>
            </c:numRef>
          </c:val>
        </c:ser>
        <c:ser>
          <c:idx val="2"/>
          <c:order val="2"/>
          <c:tx>
            <c:v>GS-11 step 1</c:v>
          </c:tx>
          <c:spPr>
            <a:ln xmlns:a="http://schemas.openxmlformats.org/drawingml/2006/main" w="19050">
              <a:solidFill>
                <a:srgbClr val="5B9BD5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Data'!$D$37:$D$63</c:f>
              <c:numCache>
                <c:formatCode>0.0</c:formatCode>
                <c:ptCount val="0"/>
              </c:numCache>
            </c:numRef>
          </c:val>
        </c:ser>
        <c:ser>
          <c:idx val="3"/>
          <c:order val="3"/>
          <c:tx>
            <c:v>GS-12 step 1</c:v>
          </c:tx>
          <c:spPr>
            <a:ln xmlns:a="http://schemas.openxmlformats.org/drawingml/2006/main" w="19050">
              <a:solidFill>
                <a:srgbClr val="4472C4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Data'!$E$37:$E$63</c:f>
              <c:numCache>
                <c:formatCode>0.0</c:formatCode>
                <c:ptCount val="0"/>
              </c:numCache>
            </c:numRef>
          </c:val>
        </c:ser>
        <c:ser>
          <c:idx val="4"/>
          <c:order val="4"/>
          <c:tx>
            <c:v>GS-13 step 1</c:v>
          </c:tx>
          <c:spPr>
            <a:ln xmlns:a="http://schemas.openxmlformats.org/drawingml/2006/main" w="19050">
              <a:solidFill>
                <a:srgbClr val="00A6D6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Data'!$F$37:$F$63</c:f>
              <c:numCache>
                <c:formatCode>0.0</c:formatCode>
                <c:ptCount val="0"/>
              </c:numCache>
            </c:numRef>
          </c:val>
        </c:ser>
        <c:ser>
          <c:idx val="5"/>
          <c:order val="5"/>
          <c:tx>
            <c:v>GS-13 step 10</c:v>
          </c:tx>
          <c:spPr>
            <a:ln xmlns:a="http://schemas.openxmlformats.org/drawingml/2006/main" w="19050">
              <a:solidFill>
                <a:srgbClr val="264478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Data'!$G$37:$G$63</c:f>
              <c:numCache>
                <c:formatCode>0.0</c:formatCode>
                <c:ptCount val="0"/>
              </c:numCache>
            </c:numRef>
          </c:val>
        </c:ser>
        <c:ser>
          <c:idx val="6"/>
          <c:order val="6"/>
          <c:tx>
            <c:v>GS-14 step 1</c:v>
          </c:tx>
          <c:spPr>
            <a:ln xmlns:a="http://schemas.openxmlformats.org/drawingml/2006/main" w="19050">
              <a:solidFill>
                <a:srgbClr val="8064A2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Data'!$H$37:$H$63</c:f>
              <c:numCache>
                <c:formatCode>0.0</c:formatCode>
                <c:ptCount val="0"/>
              </c:numCache>
            </c:numRef>
          </c:val>
        </c:ser>
        <c:ser>
          <c:idx val="7"/>
          <c:order val="7"/>
          <c:tx>
            <c:v>GS-15 step 1</c:v>
          </c:tx>
          <c:spPr>
            <a:ln xmlns:a="http://schemas.openxmlformats.org/drawingml/2006/main" w="19050">
              <a:solidFill>
                <a:srgbClr val="7F8FA6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Data'!$I$37:$I$63</c:f>
              <c:numCache>
                <c:formatCode>0.0</c:formatCode>
                <c:ptCount val="0"/>
              </c:numCache>
            </c:numRef>
          </c:val>
        </c:ser>
        <c:ser>
          <c:idx val="8"/>
          <c:order val="8"/>
          <c:tx>
            <c:v>GS-15 step 10</c:v>
          </c:tx>
          <c:spPr>
            <a:ln xmlns:a="http://schemas.openxmlformats.org/drawingml/2006/main" w="19050">
              <a:solidFill>
                <a:srgbClr val="4F81BD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Data'!$J$37:$J$63</c:f>
              <c:numCache>
                <c:formatCode>0.0</c:formatCode>
                <c:ptCount val="0"/>
              </c:numCache>
            </c:numRef>
          </c:val>
        </c:ser>
        <c:ser>
          <c:idx val="9"/>
          <c:order val="9"/>
          <c:tx>
            <c:v>O-1</c:v>
          </c:tx>
          <c:spPr>
            <a:ln xmlns:a="http://schemas.openxmlformats.org/drawingml/2006/main" w="19050">
              <a:solidFill>
                <a:srgbClr val="ED7D31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Data'!$K$37:$K$63</c:f>
              <c:numCache>
                <c:formatCode>0.0</c:formatCode>
                <c:ptCount val="0"/>
              </c:numCache>
            </c:numRef>
          </c:val>
        </c:ser>
        <c:ser>
          <c:idx val="10"/>
          <c:order val="10"/>
          <c:tx>
            <c:v>O-2</c:v>
          </c:tx>
          <c:spPr>
            <a:ln xmlns:a="http://schemas.openxmlformats.org/drawingml/2006/main" w="19050">
              <a:solidFill>
                <a:srgbClr val="F4B183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Data'!$L$37:$L$63</c:f>
              <c:numCache>
                <c:formatCode>0.0</c:formatCode>
                <c:ptCount val="0"/>
              </c:numCache>
            </c:numRef>
          </c:val>
        </c:ser>
        <c:ser>
          <c:idx val="11"/>
          <c:order val="11"/>
          <c:tx>
            <c:v>O-3</c:v>
          </c:tx>
          <c:spPr>
            <a:ln xmlns:a="http://schemas.openxmlformats.org/drawingml/2006/main" w="19050">
              <a:solidFill>
                <a:srgbClr val="C55A11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Data'!$M$37:$M$63</c:f>
              <c:numCache>
                <c:formatCode>0.0</c:formatCode>
                <c:ptCount val="0"/>
              </c:numCache>
            </c:numRef>
          </c:val>
        </c:ser>
        <c:ser>
          <c:idx val="12"/>
          <c:order val="12"/>
          <c:tx>
            <c:v>O-4</c:v>
          </c:tx>
          <c:spPr>
            <a:ln xmlns:a="http://schemas.openxmlformats.org/drawingml/2006/main" w="19050">
              <a:solidFill>
                <a:srgbClr val="A61C00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Data'!$N$37:$N$63</c:f>
              <c:numCache>
                <c:formatCode>0.0</c:formatCode>
                <c:ptCount val="0"/>
              </c:numCache>
            </c:numRef>
          </c:val>
        </c:ser>
        <c:ser>
          <c:idx val="13"/>
          <c:order val="13"/>
          <c:tx>
            <c:v>O-5</c:v>
          </c:tx>
          <c:spPr>
            <a:ln xmlns:a="http://schemas.openxmlformats.org/drawingml/2006/main" w="19050">
              <a:solidFill>
                <a:srgbClr val="A64D79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Data'!$O$37:$O$63</c:f>
              <c:numCache>
                <c:formatCode>0.0</c:formatCode>
                <c:ptCount val="0"/>
              </c:numCache>
            </c:numRef>
          </c:val>
        </c:ser>
        <c:ser>
          <c:idx val="14"/>
          <c:order val="14"/>
          <c:tx>
            <c:v>O-6</c:v>
          </c:tx>
          <c:spPr>
            <a:ln xmlns:a="http://schemas.openxmlformats.org/drawingml/2006/main" w="1905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Data'!$P$37:$P$63</c:f>
              <c:numCache>
                <c:formatCode>0.0</c:formatCode>
                <c:ptCount val="0"/>
              </c:numCache>
            </c:numRef>
          </c:val>
        </c:ser>
        <c:ser>
          <c:idx val="15"/>
          <c:order val="15"/>
          <c:tx>
            <c:v>Average private wage</c:v>
          </c:tx>
          <c:spPr>
            <a:ln xmlns:a="http://schemas.openxmlformats.org/drawingml/2006/main" w="19050">
              <a:solidFill>
                <a:srgbClr val="548235"/>
              </a:solidFill>
              <a:prstDash val="solid"/>
            </a:ln>
          </c:spPr>
          <c:marker>
            <c:symbol val="none"/>
          </c:marker>
          <c:cat>
            <c:strRef>
              <c:f>'Chart Data'!$A$37:$A$63</c:f>
              <c:strCache>
                <c:ptCount val="0"/>
              </c:strCache>
            </c:strRef>
          </c:cat>
          <c:val>
            <c:numRef>
              <c:f>'Chart Data'!$Q$37:$Q$63</c:f>
              <c:numCache>
                <c:formatCode>0.0</c:formatCode>
                <c:ptCount val="0"/>
              </c:numCache>
            </c:numRef>
          </c:val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Increase Needed to Restore 2001 Growth Parity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lineChart>
        <c:grouping val="standard"/>
        <c:varyColors val="0"/>
        <c:ser>
          <c:idx val="0"/>
          <c:order val="0"/>
          <c:tx>
            <c:v>GS-7 step 1</c:v>
          </c:tx>
          <c:spPr>
            <a:ln xmlns:a="http://schemas.openxmlformats.org/drawingml/2006/main" w="19050">
              <a:solidFill>
                <a:srgbClr val="1F4E78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Data'!$B$68:$B$94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GS-9 step 1</c:v>
          </c:tx>
          <c:spPr>
            <a:ln xmlns:a="http://schemas.openxmlformats.org/drawingml/2006/main" w="19050">
              <a:solidFill>
                <a:srgbClr val="2F75B5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Data'!$C$68:$C$94</c:f>
              <c:numCache>
                <c:formatCode>0.0%</c:formatCode>
                <c:ptCount val="0"/>
              </c:numCache>
            </c:numRef>
          </c:val>
        </c:ser>
        <c:ser>
          <c:idx val="2"/>
          <c:order val="2"/>
          <c:tx>
            <c:v>GS-11 step 1</c:v>
          </c:tx>
          <c:spPr>
            <a:ln xmlns:a="http://schemas.openxmlformats.org/drawingml/2006/main" w="19050">
              <a:solidFill>
                <a:srgbClr val="5B9BD5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Data'!$D$68:$D$94</c:f>
              <c:numCache>
                <c:formatCode>0.0%</c:formatCode>
                <c:ptCount val="0"/>
              </c:numCache>
            </c:numRef>
          </c:val>
        </c:ser>
        <c:ser>
          <c:idx val="3"/>
          <c:order val="3"/>
          <c:tx>
            <c:v>GS-12 step 1</c:v>
          </c:tx>
          <c:spPr>
            <a:ln xmlns:a="http://schemas.openxmlformats.org/drawingml/2006/main" w="19050">
              <a:solidFill>
                <a:srgbClr val="4472C4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Data'!$E$68:$E$94</c:f>
              <c:numCache>
                <c:formatCode>0.0%</c:formatCode>
                <c:ptCount val="0"/>
              </c:numCache>
            </c:numRef>
          </c:val>
        </c:ser>
        <c:ser>
          <c:idx val="4"/>
          <c:order val="4"/>
          <c:tx>
            <c:v>GS-13 step 1</c:v>
          </c:tx>
          <c:spPr>
            <a:ln xmlns:a="http://schemas.openxmlformats.org/drawingml/2006/main" w="19050">
              <a:solidFill>
                <a:srgbClr val="00A6D6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Data'!$F$68:$F$94</c:f>
              <c:numCache>
                <c:formatCode>0.0%</c:formatCode>
                <c:ptCount val="0"/>
              </c:numCache>
            </c:numRef>
          </c:val>
        </c:ser>
        <c:ser>
          <c:idx val="5"/>
          <c:order val="5"/>
          <c:tx>
            <c:v>GS-13 step 10</c:v>
          </c:tx>
          <c:spPr>
            <a:ln xmlns:a="http://schemas.openxmlformats.org/drawingml/2006/main" w="19050">
              <a:solidFill>
                <a:srgbClr val="264478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Data'!$G$68:$G$94</c:f>
              <c:numCache>
                <c:formatCode>0.0%</c:formatCode>
                <c:ptCount val="0"/>
              </c:numCache>
            </c:numRef>
          </c:val>
        </c:ser>
        <c:ser>
          <c:idx val="6"/>
          <c:order val="6"/>
          <c:tx>
            <c:v>GS-14 step 1</c:v>
          </c:tx>
          <c:spPr>
            <a:ln xmlns:a="http://schemas.openxmlformats.org/drawingml/2006/main" w="19050">
              <a:solidFill>
                <a:srgbClr val="8064A2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Data'!$H$68:$H$94</c:f>
              <c:numCache>
                <c:formatCode>0.0%</c:formatCode>
                <c:ptCount val="0"/>
              </c:numCache>
            </c:numRef>
          </c:val>
        </c:ser>
        <c:ser>
          <c:idx val="7"/>
          <c:order val="7"/>
          <c:tx>
            <c:v>GS-15 step 1</c:v>
          </c:tx>
          <c:spPr>
            <a:ln xmlns:a="http://schemas.openxmlformats.org/drawingml/2006/main" w="19050">
              <a:solidFill>
                <a:srgbClr val="7F8FA6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Data'!$I$68:$I$94</c:f>
              <c:numCache>
                <c:formatCode>0.0%</c:formatCode>
                <c:ptCount val="0"/>
              </c:numCache>
            </c:numRef>
          </c:val>
        </c:ser>
        <c:ser>
          <c:idx val="8"/>
          <c:order val="8"/>
          <c:tx>
            <c:v>GS-15 step 10</c:v>
          </c:tx>
          <c:spPr>
            <a:ln xmlns:a="http://schemas.openxmlformats.org/drawingml/2006/main" w="19050">
              <a:solidFill>
                <a:srgbClr val="4F81BD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Data'!$J$68:$J$94</c:f>
              <c:numCache>
                <c:formatCode>0.0%</c:formatCode>
                <c:ptCount val="0"/>
              </c:numCache>
            </c:numRef>
          </c:val>
        </c:ser>
        <c:ser>
          <c:idx val="9"/>
          <c:order val="9"/>
          <c:tx>
            <c:v>O-1</c:v>
          </c:tx>
          <c:spPr>
            <a:ln xmlns:a="http://schemas.openxmlformats.org/drawingml/2006/main" w="19050">
              <a:solidFill>
                <a:srgbClr val="ED7D31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Data'!$K$68:$K$94</c:f>
              <c:numCache>
                <c:formatCode>0.0%</c:formatCode>
                <c:ptCount val="0"/>
              </c:numCache>
            </c:numRef>
          </c:val>
        </c:ser>
        <c:ser>
          <c:idx val="10"/>
          <c:order val="10"/>
          <c:tx>
            <c:v>O-2</c:v>
          </c:tx>
          <c:spPr>
            <a:ln xmlns:a="http://schemas.openxmlformats.org/drawingml/2006/main" w="19050">
              <a:solidFill>
                <a:srgbClr val="F4B183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Data'!$L$68:$L$94</c:f>
              <c:numCache>
                <c:formatCode>0.0%</c:formatCode>
                <c:ptCount val="0"/>
              </c:numCache>
            </c:numRef>
          </c:val>
        </c:ser>
        <c:ser>
          <c:idx val="11"/>
          <c:order val="11"/>
          <c:tx>
            <c:v>O-3</c:v>
          </c:tx>
          <c:spPr>
            <a:ln xmlns:a="http://schemas.openxmlformats.org/drawingml/2006/main" w="19050">
              <a:solidFill>
                <a:srgbClr val="C55A11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Data'!$M$68:$M$94</c:f>
              <c:numCache>
                <c:formatCode>0.0%</c:formatCode>
                <c:ptCount val="0"/>
              </c:numCache>
            </c:numRef>
          </c:val>
        </c:ser>
        <c:ser>
          <c:idx val="12"/>
          <c:order val="12"/>
          <c:tx>
            <c:v>O-4</c:v>
          </c:tx>
          <c:spPr>
            <a:ln xmlns:a="http://schemas.openxmlformats.org/drawingml/2006/main" w="19050">
              <a:solidFill>
                <a:srgbClr val="A61C00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Data'!$N$68:$N$94</c:f>
              <c:numCache>
                <c:formatCode>0.0%</c:formatCode>
                <c:ptCount val="0"/>
              </c:numCache>
            </c:numRef>
          </c:val>
        </c:ser>
        <c:ser>
          <c:idx val="13"/>
          <c:order val="13"/>
          <c:tx>
            <c:v>O-5</c:v>
          </c:tx>
          <c:spPr>
            <a:ln xmlns:a="http://schemas.openxmlformats.org/drawingml/2006/main" w="19050">
              <a:solidFill>
                <a:srgbClr val="A64D79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Data'!$O$68:$O$94</c:f>
              <c:numCache>
                <c:formatCode>0.0%</c:formatCode>
                <c:ptCount val="0"/>
              </c:numCache>
            </c:numRef>
          </c:val>
        </c:ser>
        <c:ser>
          <c:idx val="14"/>
          <c:order val="14"/>
          <c:tx>
            <c:v>O-6</c:v>
          </c:tx>
          <c:spPr>
            <a:ln xmlns:a="http://schemas.openxmlformats.org/drawingml/2006/main" w="1905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Data'!$P$68:$P$94</c:f>
              <c:numCache>
                <c:formatCode>0.0%</c:formatCode>
                <c:ptCount val="0"/>
              </c:numCache>
            </c:numRef>
          </c:val>
        </c:ser>
        <c:ser>
          <c:idx val="15"/>
          <c:order val="15"/>
          <c:tx>
            <c:v>Average private wage</c:v>
          </c:tx>
          <c:spPr>
            <a:ln xmlns:a="http://schemas.openxmlformats.org/drawingml/2006/main" w="19050">
              <a:solidFill>
                <a:srgbClr val="548235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Data'!$Q$68:$Q$94</c:f>
              <c:numCache>
                <c:formatCode>0.0%</c:formatCode>
                <c:ptCount val="0"/>
              </c:numCache>
            </c:numRef>
          </c:val>
        </c:ser>
        <c:ser>
          <c:idx val="16"/>
          <c:order val="16"/>
          <c:tx>
            <c:v>0% Reference</c:v>
          </c:tx>
          <c:spPr>
            <a:ln xmlns:a="http://schemas.openxmlformats.org/drawingml/2006/main" w="28575">
              <a:solidFill>
                <a:srgbClr val="0070C0"/>
              </a:solidFill>
              <a:prstDash val="solid"/>
            </a:ln>
          </c:spPr>
          <c:marker>
            <c:symbol val="none"/>
          </c:marker>
          <c:cat>
            <c:strRef>
              <c:f>'Chart Data'!$A$68:$A$94</c:f>
              <c:strCache>
                <c:ptCount val="0"/>
              </c:strCache>
            </c:strRef>
          </c:cat>
          <c:val>
            <c:numRef>
              <c:f>'Chart Data'!$R$68:$R$94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25</xdr:row>
      <xdr:rowOff>0</xdr:rowOff>
    </xdr:from>
    <xdr:to>
      <xdr:col>9</xdr:col>
      <xdr:colOff>0</xdr:colOff>
      <xdr:row>45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17c4dc35a744322"/>
        </a:graphicData>
      </a:graphic>
    </xdr:graphicFrame>
    <xdr:clientData/>
  </xdr:twoCellAnchor>
  <xdr:twoCellAnchor>
    <xdr:from>
      <xdr:col>9</xdr:col>
      <xdr:colOff>0</xdr:colOff>
      <xdr:row>25</xdr:row>
      <xdr:rowOff>0</xdr:rowOff>
    </xdr:from>
    <xdr:to>
      <xdr:col>18</xdr:col>
      <xdr:colOff>0</xdr:colOff>
      <xdr:row>45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2124c6d2adf4a7f"/>
        </a:graphicData>
      </a:graphic>
    </xdr:graphicFrame>
    <xdr:clientData/>
  </xdr:twoCellAnchor>
  <xdr:twoCellAnchor>
    <xdr:from>
      <xdr:col>0</xdr:col>
      <xdr:colOff>0</xdr:colOff>
      <xdr:row>46</xdr:row>
      <xdr:rowOff>0</xdr:rowOff>
    </xdr:from>
    <xdr:to>
      <xdr:col>18</xdr:col>
      <xdr:colOff>0</xdr:colOff>
      <xdr:row>67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d99aae1a86c4658"/>
        </a:graphicData>
      </a:graphic>
    </xdr:graphicFrame>
    <xdr:clientData/>
  </xdr:twoCellAnchor>
</xdr:wsDr>
</file>

<file path=xl/persons/person.xml><?xml version="1.0" encoding="utf-8"?>
<xltc:personList xmlns:xltc="http://schemas.microsoft.com/office/spreadsheetml/2018/threadedcomments">
  <xltc:person displayName="Independent Compensation Analysis" id="{41816B36-5059-4DA2-B93E-551613B78277}"/>
</xltc:personList>
</file>

<file path=xl/tables/table1.xml><?xml version="1.0" encoding="utf-8"?>
<x:table xmlns:x="http://schemas.openxmlformats.org/spreadsheetml/2006/main" id="6" name="AnnualValuesTable" displayName="AnnualValuesTable" ref="A5:R32" headerRowCount="1" totalsRowCount="0" totalsRowShown="0">
  <x:autoFilter ref="A5:R32"/>
  <x:tableColumns count="18">
    <x:tableColumn id="1" name="Year"/>
    <x:tableColumn id="2" name="Status"/>
    <x:tableColumn id="3" name="GS-7 step 1"/>
    <x:tableColumn id="4" name="GS-9 step 1"/>
    <x:tableColumn id="5" name="GS-11 step 1"/>
    <x:tableColumn id="6" name="GS-12 step 1"/>
    <x:tableColumn id="7" name="GS-13 step 1"/>
    <x:tableColumn id="8" name="GS-13 step 10"/>
    <x:tableColumn id="9" name="GS-14 step 1"/>
    <x:tableColumn id="10" name="GS-15 step 1"/>
    <x:tableColumn id="11" name="GS-15 step 10"/>
    <x:tableColumn id="12" name="O-1"/>
    <x:tableColumn id="13" name="O-2"/>
    <x:tableColumn id="14" name="O-3"/>
    <x:tableColumn id="15" name="O-4"/>
    <x:tableColumn id="16" name="O-5"/>
    <x:tableColumn id="17" name="O-6"/>
    <x:tableColumn id="18" name="Average private wag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7" name="IndexedGrowthTable" displayName="IndexedGrowthTable" ref="A5:R32" headerRowCount="1" totalsRowCount="0" totalsRowShown="0">
  <x:autoFilter ref="A5:R32"/>
  <x:tableColumns count="18">
    <x:tableColumn id="1" name="Year"/>
    <x:tableColumn id="2" name="Status"/>
    <x:tableColumn id="3" name="GS-7 step 1"/>
    <x:tableColumn id="4" name="GS-9 step 1"/>
    <x:tableColumn id="5" name="GS-11 step 1"/>
    <x:tableColumn id="6" name="GS-12 step 1"/>
    <x:tableColumn id="7" name="GS-13 step 1"/>
    <x:tableColumn id="8" name="GS-13 step 10"/>
    <x:tableColumn id="9" name="GS-14 step 1"/>
    <x:tableColumn id="10" name="GS-15 step 1"/>
    <x:tableColumn id="11" name="GS-15 step 10"/>
    <x:tableColumn id="12" name="O-1"/>
    <x:tableColumn id="13" name="O-2"/>
    <x:tableColumn id="14" name="O-3"/>
    <x:tableColumn id="15" name="O-4"/>
    <x:tableColumn id="16" name="O-5"/>
    <x:tableColumn id="17" name="O-6"/>
    <x:tableColumn id="18" name="Average private wage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8" name="ParityGapTable" displayName="ParityGapTable" ref="A5:S32" headerRowCount="1" totalsRowCount="0" totalsRowShown="0">
  <x:autoFilter ref="A5:S32"/>
  <x:tableColumns count="19">
    <x:tableColumn id="1" name="Year"/>
    <x:tableColumn id="2" name="Selected Baseline Index"/>
    <x:tableColumn id="3" name="GS-7 step 1"/>
    <x:tableColumn id="4" name="GS-9 step 1"/>
    <x:tableColumn id="5" name="GS-11 step 1"/>
    <x:tableColumn id="6" name="GS-12 step 1"/>
    <x:tableColumn id="7" name="GS-13 step 1"/>
    <x:tableColumn id="8" name="GS-13 step 10"/>
    <x:tableColumn id="9" name="GS-14 step 1"/>
    <x:tableColumn id="10" name="GS-15 step 1"/>
    <x:tableColumn id="11" name="GS-15 step 10"/>
    <x:tableColumn id="12" name="O-1"/>
    <x:tableColumn id="13" name="O-2"/>
    <x:tableColumn id="14" name="O-3"/>
    <x:tableColumn id="15" name="O-4"/>
    <x:tableColumn id="16" name="O-5"/>
    <x:tableColumn id="17" name="O-6"/>
    <x:tableColumn id="18" name="Average private wage"/>
    <x:tableColumn id="19" name="0% Reference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3" name="GSSourceTable" displayName="GSSourceTable" ref="A5:V32" headerRowCount="1" totalsRowCount="0" totalsRowShown="0">
  <x:autoFilter ref="A5:V32"/>
  <x:tableColumns count="22">
    <x:tableColumn id="1" name="Year"/>
    <x:tableColumn id="2" name="Status"/>
    <x:tableColumn id="3" name="New-Hire FERS Rate"/>
    <x:tableColumn id="4" name="GS-7 step 1 Gross"/>
    <x:tableColumn id="5" name="GS-7 step 1 After FERS"/>
    <x:tableColumn id="6" name="GS-9 step 1 Gross"/>
    <x:tableColumn id="7" name="GS-9 step 1 After FERS"/>
    <x:tableColumn id="8" name="GS-11 step 1 Gross"/>
    <x:tableColumn id="9" name="GS-11 step 1 After FERS"/>
    <x:tableColumn id="10" name="GS-12 step 1 Gross"/>
    <x:tableColumn id="11" name="GS-12 step 1 After FERS"/>
    <x:tableColumn id="12" name="GS-13 step 1 Gross"/>
    <x:tableColumn id="13" name="GS-13 step 1 After FERS"/>
    <x:tableColumn id="14" name="GS-13 step 10 Gross"/>
    <x:tableColumn id="15" name="GS-13 step 10 After FERS"/>
    <x:tableColumn id="16" name="GS-14 step 1 Gross"/>
    <x:tableColumn id="17" name="GS-14 step 1 After FERS"/>
    <x:tableColumn id="18" name="GS-15 step 1 Gross"/>
    <x:tableColumn id="19" name="GS-15 step 1 After FERS"/>
    <x:tableColumn id="20" name="GS-15 step 10 Gross"/>
    <x:tableColumn id="21" name="GS-15 step 10 After FERS"/>
    <x:tableColumn id="22" name="OPM Source URL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4" name="MilitaryDetailTable" displayName="MilitaryDetailTable" ref="A5:T167" headerRowCount="1" totalsRowCount="0" totalsRowShown="0">
  <x:autoFilter ref="A5:T167"/>
  <x:tableColumns count="20">
    <x:tableColumn id="1" name="Year"/>
    <x:tableColumn id="2" name="Status"/>
    <x:tableColumn id="3" name="Series"/>
    <x:tableColumn id="4" name="Representative Profile"/>
    <x:tableColumn id="5" name="2027 Basic-Pay Change"/>
    <x:tableColumn id="6" name="Monthly Basic Pay"/>
    <x:tableColumn id="7" name="Annual Basic Pay"/>
    <x:tableColumn id="8" name="Monthly BAH"/>
    <x:tableColumn id="9" name="Annual BAH"/>
    <x:tableColumn id="10" name="Monthly Officer BAS"/>
    <x:tableColumn id="11" name="Annual Officer BAS"/>
    <x:tableColumn id="12" name="Tax-Exempt Allowances"/>
    <x:tableColumn id="13" name="Total Compensation"/>
    <x:tableColumn id="14" name="Estimated Federal Tax Advantage"/>
    <x:tableColumn id="15" name="Taxable-Salary Equivalent"/>
    <x:tableColumn id="16" name="Military Housing Area"/>
    <x:tableColumn id="17" name="BAH Query Inputs"/>
    <x:tableColumn id="18" name="Basic-Pay Source"/>
    <x:tableColumn id="19" name="BAH Source"/>
    <x:tableColumn id="20" name="BAS Source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5" name="PrivateWageTable" displayName="PrivateWageTable" ref="A5:G32" headerRowCount="1" totalsRowCount="0" totalsRowShown="0">
  <x:autoFilter ref="A5:G32"/>
  <x:tableColumns count="7">
    <x:tableColumn id="1" name="Year"/>
    <x:tableColumn id="2" name="Status"/>
    <x:tableColumn id="3" name="Average Hourly Wage"/>
    <x:tableColumn id="4" name="Annualization Hours"/>
    <x:tableColumn id="5" name="Annual Wage Equivalent"/>
    <x:tableColumn id="6" name="Observation Status"/>
    <x:tableColumn id="7" name="Source URL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1" name="AssumptionsTable" displayName="AssumptionsTable" ref="A5:F18" headerRowCount="1" totalsRowCount="0" totalsRowShown="0">
  <x:autoFilter ref="A5:F18"/>
  <x:tableColumns count="6">
    <x:tableColumn id="1" name="Assumption / Definition"/>
    <x:tableColumn id="2" name="Value"/>
    <x:tableColumn id="3" name="Unit"/>
    <x:tableColumn id="4" name="Treatment in Model"/>
    <x:tableColumn id="5" name="Primary Source"/>
    <x:tableColumn id="6" name="Status / Limitation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2" name="SourceRegisterTable" displayName="SourceRegisterTable" ref="A22:F32" headerRowCount="1" totalsRowCount="0" totalsRowShown="0">
  <x:autoFilter ref="A22:F32"/>
  <x:tableColumns count="6">
    <x:tableColumn id="1" name="Source ID"/>
    <x:tableColumn id="2" name="Agency"/>
    <x:tableColumn id="3" name="Dataset / Purpose"/>
    <x:tableColumn id="4" name="Coverage"/>
    <x:tableColumn id="5" name="URL"/>
    <x:tableColumn id="6" name="Important Note"/>
  </x:tableColumns>
  <x:tableStyleInfo name="TableStyleMedium2" showFirstColumn="0" showLastColumn="0" showRowStripes="1" showColumnStripes="0"/>
</x:table>
</file>

<file path=xl/tables/table9.xml><?xml version="1.0" encoding="utf-8"?>
<x:table xmlns:x="http://schemas.openxmlformats.org/spreadsheetml/2006/main" id="9" name="QAChecksTable" displayName="QAChecksTable" ref="A5:F32" headerRowCount="1" totalsRowCount="0" totalsRowShown="0">
  <x:autoFilter ref="A5:F32"/>
  <x:tableColumns count="6">
    <x:tableColumn id="1" name="Check"/>
    <x:tableColumn id="2" name="Actual"/>
    <x:tableColumn id="3" name="Expected"/>
    <x:tableColumn id="4" name="Status"/>
    <x:tableColumn id="5" name="Scope"/>
    <x:tableColumn id="6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.xml><?xml version="1.0" encoding="utf-8"?>
<xltc:ThreadedComments xmlns:xltc="http://schemas.microsoft.com/office/spreadsheetml/2018/threadedcomments">
  <xltc:threadedComment ref="K4" dT="2026-07-28T06:19:15.577" personId="{41816B36-5059-4DA2-B93E-551613B78277}" id="{5C70863A-D44E-3BDC-EC8E-CE0CBFB948F5}">
    <xltc:text>Editable federal marginal-rate sensitivity used to estimate the taxable-salary equivalent of tax-exempt BAH and BAS. It is not individualized tax advice.</xltc:text>
  </xltc:threadedComment>
</xltc:ThreadedComments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626f295d813a43c0" /><Relationship Type="http://schemas.openxmlformats.org/officeDocument/2006/relationships/vmlDrawing" Target="/xl/drawings/vmldrawing.vml" Id="R96304670b17244d1" /><Relationship Type="http://schemas.microsoft.com/office/2017/10/relationships/threadedComment" Target="/xl/threadedcomments/threadedcomment.xml" Id="R0c34942cfc56457b" /><Relationship Type="http://schemas.openxmlformats.org/officeDocument/2006/relationships/drawing" Target="/xl/drawings/drawing1.xml" Id="R6045a672e3664ec9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b0d90b930ac544f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76a6311b76c8494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837d2eabff8e402c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db42af590a164c7b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e8f48b4d419e4cdf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6527c2cb4704461c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4245b766794d4132" /><Relationship Type="http://schemas.openxmlformats.org/officeDocument/2006/relationships/table" Target="/xl/tables/table8.xml" Id="R1ca5241a7e3c40c4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9.xml" Id="Ree18589d55db437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" hidden="0" customWidth="1"/>
    <x:col min="2" max="2" width="22" hidden="0" customWidth="1"/>
    <x:col min="3" max="3" width="10" hidden="0" customWidth="1"/>
    <x:col min="4" max="4" width="39" hidden="0" customWidth="1"/>
    <x:col min="5" max="5" width="22" hidden="0" customWidth="1"/>
    <x:col min="6" max="6" width="4" hidden="0" customWidth="1"/>
    <x:col min="7" max="7" width="23" hidden="0" customWidth="1"/>
    <x:col min="8" max="8" width="15" hidden="0" customWidth="1"/>
    <x:col min="9" max="9" width="15" hidden="0" customWidth="1"/>
    <x:col min="10" max="10" width="14" hidden="0" customWidth="1"/>
    <x:col min="11" max="11" width="16" hidden="0" customWidth="1"/>
    <x:col min="12" max="12" width="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</x:cols>
  <x:sheetData>
    <x:row r="1" ht="32" customHeight="1">
      <x:c r="A1" s="3" t="str">
        <x:v>Interactive Federal, Military, and Private Compensation Comparison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ht="34" customHeight="1">
      <x:c r="A2" s="7" t="str">
        <x:v>Choose the series to display, the parity baseline, and the compensation bases. Default view: a new-hire GS-12 step 1 compared with O-3 taxable-salary equivalent.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</x:row>
    <x:row r="4">
      <x:c r="A4" s="100" t="str">
        <x:v>Parity Baseline</x:v>
      </x:c>
      <x:c r="B4" s="104" t="str">
        <x:v>GS-12 step 1</x:v>
      </x:c>
      <x:c r="D4" s="100" t="str">
        <x:v>GS Value Basis</x:v>
      </x:c>
      <x:c r="E4" s="104" t="str">
        <x:v>New-hire after FERS</x:v>
      </x:c>
      <x:c r="G4" s="100" t="str">
        <x:v>Military Value Basis</x:v>
      </x:c>
      <x:c r="H4" s="104" t="str">
        <x:v>Taxable-salary equivalent</x:v>
      </x:c>
      <x:c r="J4" s="100" t="str">
        <x:v>Federal Tax Rate</x:v>
      </x:c>
      <x:c r="K4" s="105" t="n">
        <x:v>0.22</x:v>
      </x:c>
    </x:row>
    <x:row r="5" ht="32" customHeight="1">
      <x:c r="A5" s="37" t="str">
        <x:v>Group</x:v>
      </x:c>
      <x:c r="B5" s="37" t="str">
        <x:v>Series</x:v>
      </x:c>
      <x:c r="C5" s="37" t="str">
        <x:v>Show?</x:v>
      </x:c>
      <x:c r="D5" s="37" t="str">
        <x:v>Definition / Profile</x:v>
      </x:c>
      <x:c r="G5" s="37" t="str">
        <x:v>Selected Series</x:v>
      </x:c>
      <x:c r="H5" s="37" t="str">
        <x:v>2026 Actual</x:v>
      </x:c>
      <x:c r="I5" s="37" t="str">
        <x:v>2027F</x:v>
      </x:c>
      <x:c r="J5" s="37" t="str">
        <x:v>2027F Index</x:v>
      </x:c>
      <x:c r="K5" s="37" t="str">
        <x:v>2027F Parity Gap</x:v>
      </x:c>
      <x:c r="M5" s="138" t="str">
        <x:v>Selected Series</x:v>
      </x:c>
      <x:c r="N5" s="138"/>
      <x:c r="O5" s="138" t="str">
        <x:v>Baseline 2027F Value</x:v>
      </x:c>
      <x:c r="P5" s="138"/>
      <x:c r="Q5" s="138" t="str">
        <x:v>Largest Selected Gap</x:v>
      </x:c>
      <x:c r="R5" s="138"/>
    </x:row>
    <x:row r="6" ht="24" customHeight="1">
      <x:c r="A6" s="110" t="str">
        <x:v>GS</x:v>
      </x:c>
      <x:c r="B6" s="110" t="str">
        <x:v>GS-7 step 1</x:v>
      </x:c>
      <x:c r="C6" s="109" t="str">
        <x:v>No</x:v>
      </x:c>
      <x:c r="D6" s="115" t="str">
        <x:v>Rest of U.S. locality; GS basis selected above</x:v>
      </x:c>
      <x:c r="G6" s="117" t="str">
        <x:f>IF($C6="Yes",$B6,"")</x:f>
      </x:c>
      <x:c r="H6" s="133" t="str">
        <x:f>IF($C6="Yes",'Annual Values'!C$31,"")</x:f>
      </x:c>
      <x:c r="I6" s="133" t="str">
        <x:f>IF($C6="Yes",'Annual Values'!C$32,"")</x:f>
      </x:c>
      <x:c r="J6" s="135" t="str">
        <x:f>IF($C6="Yes",'Indexed Growth'!C$32,"")</x:f>
      </x:c>
      <x:c r="K6" s="68" t="str">
        <x:f>IF($C6="Yes",'Parity Gaps'!C$32,"")</x:f>
      </x:c>
      <x:c r="M6" s="148" t="n">
        <x:f>COUNTIF($C$6:$C$21,"Yes")</x:f>
        <x:v>2</x:v>
      </x:c>
      <x:c r="N6" s="149"/>
      <x:c r="O6" s="152" t="n">
        <x:f>INDEX('Annual Values'!$C$32:$R$32,1,MATCH($B$4,'Annual Values'!$C$5:$R$5,0))</x:f>
        <x:v>85569.648</x:v>
      </x:c>
      <x:c r="P6" s="149"/>
      <x:c r="Q6" s="153" t="n">
        <x:f>MAX($K$6:$K$21)</x:f>
        <x:v>0.41545184543824454</x:v>
      </x:c>
      <x:c r="R6" s="149"/>
    </x:row>
    <x:row r="7" ht="24" customHeight="1">
      <x:c r="A7" s="112" t="str">
        <x:v>GS</x:v>
      </x:c>
      <x:c r="B7" s="112" t="str">
        <x:v>GS-9 step 1</x:v>
      </x:c>
      <x:c r="C7" s="109" t="str">
        <x:v>No</x:v>
      </x:c>
      <x:c r="D7" s="116" t="str">
        <x:v>Rest of U.S. locality; GS basis selected above</x:v>
      </x:c>
      <x:c r="G7" s="118" t="str">
        <x:f>IF($C7="Yes",$B7,"")</x:f>
      </x:c>
      <x:c r="H7" s="134" t="str">
        <x:f>IF($C7="Yes",'Annual Values'!D$31,"")</x:f>
      </x:c>
      <x:c r="I7" s="134" t="str">
        <x:f>IF($C7="Yes",'Annual Values'!D$32,"")</x:f>
      </x:c>
      <x:c r="J7" s="136" t="str">
        <x:f>IF($C7="Yes",'Indexed Growth'!D$32,"")</x:f>
      </x:c>
      <x:c r="K7" s="69" t="str">
        <x:f>IF($C7="Yes",'Parity Gaps'!D$32,"")</x:f>
      </x:c>
      <x:c r="M7" s="150"/>
      <x:c r="N7" s="151"/>
      <x:c r="O7" s="150"/>
      <x:c r="P7" s="151"/>
      <x:c r="Q7" s="150"/>
      <x:c r="R7" s="151"/>
    </x:row>
    <x:row r="8" ht="24" customHeight="1">
      <x:c r="A8" s="112" t="str">
        <x:v>GS</x:v>
      </x:c>
      <x:c r="B8" s="112" t="str">
        <x:v>GS-11 step 1</x:v>
      </x:c>
      <x:c r="C8" s="109" t="str">
        <x:v>No</x:v>
      </x:c>
      <x:c r="D8" s="116" t="str">
        <x:v>Rest of U.S. locality; GS basis selected above</x:v>
      </x:c>
      <x:c r="G8" s="119" t="str">
        <x:f>IF($C8="Yes",$B8,"")</x:f>
      </x:c>
      <x:c r="H8" s="134" t="str">
        <x:f>IF($C8="Yes",'Annual Values'!E$31,"")</x:f>
      </x:c>
      <x:c r="I8" s="134" t="str">
        <x:f>IF($C8="Yes",'Annual Values'!E$32,"")</x:f>
      </x:c>
      <x:c r="J8" s="136" t="str">
        <x:f>IF($C8="Yes",'Indexed Growth'!E$32,"")</x:f>
      </x:c>
      <x:c r="K8" s="69" t="str">
        <x:f>IF($C8="Yes",'Parity Gaps'!E$32,"")</x:f>
      </x:c>
    </x:row>
    <x:row r="9" ht="24" customHeight="1">
      <x:c r="A9" s="112" t="str">
        <x:v>GS</x:v>
      </x:c>
      <x:c r="B9" s="112" t="str">
        <x:v>GS-12 step 1</x:v>
      </x:c>
      <x:c r="C9" s="109" t="str">
        <x:v>Yes</x:v>
      </x:c>
      <x:c r="D9" s="116" t="str">
        <x:v>Rest of U.S. locality; GS basis selected above</x:v>
      </x:c>
      <x:c r="G9" s="120" t="str">
        <x:f>IF($C9="Yes",$B9,"")</x:f>
        <x:v>GS-12 step 1</x:v>
      </x:c>
      <x:c r="H9" s="134" t="n">
        <x:f>IF($C9="Yes",'Annual Values'!F$31,"")</x:f>
        <x:v>85569.648</x:v>
      </x:c>
      <x:c r="I9" s="134" t="n">
        <x:f>IF($C9="Yes",'Annual Values'!F$32,"")</x:f>
        <x:v>85569.648</x:v>
      </x:c>
      <x:c r="J9" s="136" t="n">
        <x:f>IF($C9="Yes",'Indexed Growth'!F$32,"")</x:f>
        <x:v>166.1172912096821</x:v>
      </x:c>
      <x:c r="K9" s="69" t="n">
        <x:f>IF($C9="Yes",'Parity Gaps'!F$32,"")</x:f>
        <x:v>0</x:v>
      </x:c>
      <x:c r="M9" s="154" t="str">
        <x:v>How to Read the Tool</x:v>
      </x:c>
      <x:c r="N9" s="154"/>
      <x:c r="O9" s="154"/>
      <x:c r="P9" s="154"/>
      <x:c r="Q9" s="154"/>
      <x:c r="R9" s="154"/>
    </x:row>
    <x:row r="10" ht="24" customHeight="1">
      <x:c r="A10" s="112" t="str">
        <x:v>GS</x:v>
      </x:c>
      <x:c r="B10" s="112" t="str">
        <x:v>GS-13 step 1</x:v>
      </x:c>
      <x:c r="C10" s="109" t="str">
        <x:v>No</x:v>
      </x:c>
      <x:c r="D10" s="116" t="str">
        <x:v>Rest of U.S. locality; GS basis selected above</x:v>
      </x:c>
      <x:c r="G10" s="121" t="str">
        <x:f>IF($C10="Yes",$B10,"")</x:f>
      </x:c>
      <x:c r="H10" s="134" t="str">
        <x:f>IF($C10="Yes",'Annual Values'!G$31,"")</x:f>
      </x:c>
      <x:c r="I10" s="134" t="str">
        <x:f>IF($C10="Yes",'Annual Values'!G$32,"")</x:f>
      </x:c>
      <x:c r="J10" s="136" t="str">
        <x:f>IF($C10="Yes",'Indexed Growth'!G$32,"")</x:f>
      </x:c>
      <x:c r="K10" s="69" t="str">
        <x:f>IF($C10="Yes",'Parity Gaps'!G$32,"")</x:f>
      </x:c>
      <x:c r="M10" s="173" t="str">
        <x:f>"1. Set Show? to Yes for any series.  2. Choose the parity baseline.  3. Choose whether GS uses published salary or the amount remaining after the new-hire FERS contribution.  4. Choose whether military uses actual basic pay + BAH + BAS or the federal taxable-salary equivalent."&amp;CHAR(10)&amp;CHAR(10)&amp;"Current baseline: "&amp;$B$4&amp;".  Positive parity gap means the baseline must increase by that percentage to restore its 2001 growth relationship."&amp;CHAR(10)&amp;CHAR(10)&amp;IF(INDEX($C$6:$C$21,MATCH($B$4,$B$6:$B$21,0))="Yes","Baseline is visible on the charts.","Baseline is currently hidden; parity still calculates, but turn it on for context.")</x:f>
        <x:v>1. Set Show? to Yes for any series.  2. Choose the parity baseline.  3. Choose whether GS uses published salary or the amount remaining after the new-hire FERS contribution.  4. Choose whether military uses actual basic pay + BAH + BAS or the federal taxable-salary equivalent.
Current baseline: GS-12 step 1.  Positive parity gap means the baseline must increase by that percentage to restore its 2001 growth relationship.
Baseline is visible on the charts.</x:v>
      </x:c>
      <x:c r="N10" s="174"/>
      <x:c r="O10" s="174"/>
      <x:c r="P10" s="174"/>
      <x:c r="Q10" s="174"/>
      <x:c r="R10" s="175"/>
    </x:row>
    <x:row r="11" ht="24" customHeight="1">
      <x:c r="A11" s="112" t="str">
        <x:v>GS</x:v>
      </x:c>
      <x:c r="B11" s="112" t="str">
        <x:v>GS-13 step 10</x:v>
      </x:c>
      <x:c r="C11" s="109" t="str">
        <x:v>No</x:v>
      </x:c>
      <x:c r="D11" s="116" t="str">
        <x:v>Rest of U.S. locality; GS basis selected above</x:v>
      </x:c>
      <x:c r="G11" s="122" t="str">
        <x:f>IF($C11="Yes",$B11,"")</x:f>
      </x:c>
      <x:c r="H11" s="134" t="str">
        <x:f>IF($C11="Yes",'Annual Values'!H$31,"")</x:f>
      </x:c>
      <x:c r="I11" s="134" t="str">
        <x:f>IF($C11="Yes",'Annual Values'!H$32,"")</x:f>
      </x:c>
      <x:c r="J11" s="136" t="str">
        <x:f>IF($C11="Yes",'Indexed Growth'!H$32,"")</x:f>
      </x:c>
      <x:c r="K11" s="69" t="str">
        <x:f>IF($C11="Yes",'Parity Gaps'!H$32,"")</x:f>
      </x:c>
      <x:c r="M11" s="176"/>
      <x:c r="N11" s="177"/>
      <x:c r="O11" s="177"/>
      <x:c r="P11" s="177"/>
      <x:c r="Q11" s="177"/>
      <x:c r="R11" s="178"/>
    </x:row>
    <x:row r="12" ht="24" customHeight="1">
      <x:c r="A12" s="112" t="str">
        <x:v>GS</x:v>
      </x:c>
      <x:c r="B12" s="112" t="str">
        <x:v>GS-14 step 1</x:v>
      </x:c>
      <x:c r="C12" s="109" t="str">
        <x:v>No</x:v>
      </x:c>
      <x:c r="D12" s="116" t="str">
        <x:v>Rest of U.S. locality; GS basis selected above</x:v>
      </x:c>
      <x:c r="G12" s="123" t="str">
        <x:f>IF($C12="Yes",$B12,"")</x:f>
      </x:c>
      <x:c r="H12" s="134" t="str">
        <x:f>IF($C12="Yes",'Annual Values'!I$31,"")</x:f>
      </x:c>
      <x:c r="I12" s="134" t="str">
        <x:f>IF($C12="Yes",'Annual Values'!I$32,"")</x:f>
      </x:c>
      <x:c r="J12" s="136" t="str">
        <x:f>IF($C12="Yes",'Indexed Growth'!I$32,"")</x:f>
      </x:c>
      <x:c r="K12" s="69" t="str">
        <x:f>IF($C12="Yes",'Parity Gaps'!I$32,"")</x:f>
      </x:c>
      <x:c r="M12" s="176"/>
      <x:c r="N12" s="177"/>
      <x:c r="O12" s="177"/>
      <x:c r="P12" s="177"/>
      <x:c r="Q12" s="177"/>
      <x:c r="R12" s="178"/>
    </x:row>
    <x:row r="13" ht="24" customHeight="1">
      <x:c r="A13" s="112" t="str">
        <x:v>GS</x:v>
      </x:c>
      <x:c r="B13" s="112" t="str">
        <x:v>GS-15 step 1</x:v>
      </x:c>
      <x:c r="C13" s="109" t="str">
        <x:v>No</x:v>
      </x:c>
      <x:c r="D13" s="116" t="str">
        <x:v>Rest of U.S. locality; GS basis selected above</x:v>
      </x:c>
      <x:c r="G13" s="124" t="str">
        <x:f>IF($C13="Yes",$B13,"")</x:f>
      </x:c>
      <x:c r="H13" s="134" t="str">
        <x:f>IF($C13="Yes",'Annual Values'!J$31,"")</x:f>
      </x:c>
      <x:c r="I13" s="134" t="str">
        <x:f>IF($C13="Yes",'Annual Values'!J$32,"")</x:f>
      </x:c>
      <x:c r="J13" s="136" t="str">
        <x:f>IF($C13="Yes",'Indexed Growth'!J$32,"")</x:f>
      </x:c>
      <x:c r="K13" s="69" t="str">
        <x:f>IF($C13="Yes",'Parity Gaps'!J$32,"")</x:f>
      </x:c>
      <x:c r="M13" s="176"/>
      <x:c r="N13" s="177"/>
      <x:c r="O13" s="177"/>
      <x:c r="P13" s="177"/>
      <x:c r="Q13" s="177"/>
      <x:c r="R13" s="178"/>
    </x:row>
    <x:row r="14" ht="24" customHeight="1">
      <x:c r="A14" s="112" t="str">
        <x:v>GS</x:v>
      </x:c>
      <x:c r="B14" s="112" t="str">
        <x:v>GS-15 step 10</x:v>
      </x:c>
      <x:c r="C14" s="109" t="str">
        <x:v>No</x:v>
      </x:c>
      <x:c r="D14" s="116" t="str">
        <x:v>Rest of U.S. locality; GS basis selected above</x:v>
      </x:c>
      <x:c r="G14" s="125" t="str">
        <x:f>IF($C14="Yes",$B14,"")</x:f>
      </x:c>
      <x:c r="H14" s="134" t="str">
        <x:f>IF($C14="Yes",'Annual Values'!K$31,"")</x:f>
      </x:c>
      <x:c r="I14" s="134" t="str">
        <x:f>IF($C14="Yes",'Annual Values'!K$32,"")</x:f>
      </x:c>
      <x:c r="J14" s="136" t="str">
        <x:f>IF($C14="Yes",'Indexed Growth'!K$32,"")</x:f>
      </x:c>
      <x:c r="K14" s="69" t="str">
        <x:f>IF($C14="Yes",'Parity Gaps'!K$32,"")</x:f>
      </x:c>
      <x:c r="M14" s="176"/>
      <x:c r="N14" s="177"/>
      <x:c r="O14" s="177"/>
      <x:c r="P14" s="177"/>
      <x:c r="Q14" s="177"/>
      <x:c r="R14" s="178"/>
    </x:row>
    <x:row r="15" ht="24" customHeight="1">
      <x:c r="A15" s="70" t="str">
        <x:v>Military</x:v>
      </x:c>
      <x:c r="B15" s="70" t="str">
        <x:v>O-1</x:v>
      </x:c>
      <x:c r="C15" s="109" t="str">
        <x:v>No</x:v>
      </x:c>
      <x:c r="D15" s="82" t="str">
        <x:v>O-1 under 2; Hill AFB with-dependents BAH</x:v>
      </x:c>
      <x:c r="G15" s="126" t="str">
        <x:f>IF($C15="Yes",$B15,"")</x:f>
      </x:c>
      <x:c r="H15" s="134" t="str">
        <x:f>IF($C15="Yes",'Annual Values'!L$31,"")</x:f>
      </x:c>
      <x:c r="I15" s="134" t="str">
        <x:f>IF($C15="Yes",'Annual Values'!L$32,"")</x:f>
      </x:c>
      <x:c r="J15" s="136" t="str">
        <x:f>IF($C15="Yes",'Indexed Growth'!L$32,"")</x:f>
      </x:c>
      <x:c r="K15" s="69" t="str">
        <x:f>IF($C15="Yes",'Parity Gaps'!L$32,"")</x:f>
      </x:c>
      <x:c r="M15" s="176"/>
      <x:c r="N15" s="177"/>
      <x:c r="O15" s="177"/>
      <x:c r="P15" s="177"/>
      <x:c r="Q15" s="177"/>
      <x:c r="R15" s="178"/>
    </x:row>
    <x:row r="16" ht="24" customHeight="1">
      <x:c r="A16" s="70" t="str">
        <x:v>Military</x:v>
      </x:c>
      <x:c r="B16" s="70" t="str">
        <x:v>O-2</x:v>
      </x:c>
      <x:c r="C16" s="109" t="str">
        <x:v>No</x:v>
      </x:c>
      <x:c r="D16" s="82" t="str">
        <x:v>O-2 over 2; Hill AFB with-dependents BAH</x:v>
      </x:c>
      <x:c r="G16" s="127" t="str">
        <x:f>IF($C16="Yes",$B16,"")</x:f>
      </x:c>
      <x:c r="H16" s="134" t="str">
        <x:f>IF($C16="Yes",'Annual Values'!M$31,"")</x:f>
      </x:c>
      <x:c r="I16" s="134" t="str">
        <x:f>IF($C16="Yes",'Annual Values'!M$32,"")</x:f>
      </x:c>
      <x:c r="J16" s="136" t="str">
        <x:f>IF($C16="Yes",'Indexed Growth'!M$32,"")</x:f>
      </x:c>
      <x:c r="K16" s="69" t="str">
        <x:f>IF($C16="Yes",'Parity Gaps'!M$32,"")</x:f>
      </x:c>
      <x:c r="M16" s="176"/>
      <x:c r="N16" s="177"/>
      <x:c r="O16" s="177"/>
      <x:c r="P16" s="177"/>
      <x:c r="Q16" s="177"/>
      <x:c r="R16" s="178"/>
    </x:row>
    <x:row r="17" ht="24" customHeight="1">
      <x:c r="A17" s="70" t="str">
        <x:v>Military</x:v>
      </x:c>
      <x:c r="B17" s="70" t="str">
        <x:v>O-3</x:v>
      </x:c>
      <x:c r="C17" s="109" t="str">
        <x:v>Yes</x:v>
      </x:c>
      <x:c r="D17" s="82" t="str">
        <x:v>O-3 over 6; Hill AFB with-dependents BAH</x:v>
      </x:c>
      <x:c r="G17" s="128" t="str">
        <x:f>IF($C17="Yes",$B17,"")</x:f>
        <x:v>O-3</x:v>
      </x:c>
      <x:c r="H17" s="134" t="n">
        <x:f>IF($C17="Yes",'Annual Values'!N$31,"")</x:f>
        <x:v>134220.61538461538</x:v>
      </x:c>
      <x:c r="I17" s="134" t="n">
        <x:f>IF($C17="Yes",'Annual Values'!N$32,"")</x:f>
        <x:v>139791.2553846154</x:v>
      </x:c>
      <x:c r="J17" s="136" t="n">
        <x:f>IF($C17="Yes",'Indexed Growth'!N$32,"")</x:f>
        <x:v>235.1310264019468</x:v>
      </x:c>
      <x:c r="K17" s="69" t="n">
        <x:f>IF($C17="Yes",'Parity Gaps'!N$32,"")</x:f>
        <x:v>0.41545184543824454</x:v>
      </x:c>
      <x:c r="M17" s="176"/>
      <x:c r="N17" s="177"/>
      <x:c r="O17" s="177"/>
      <x:c r="P17" s="177"/>
      <x:c r="Q17" s="177"/>
      <x:c r="R17" s="178"/>
    </x:row>
    <x:row r="18" ht="24" customHeight="1">
      <x:c r="A18" s="70" t="str">
        <x:v>Military</x:v>
      </x:c>
      <x:c r="B18" s="70" t="str">
        <x:v>O-4</x:v>
      </x:c>
      <x:c r="C18" s="109" t="str">
        <x:v>No</x:v>
      </x:c>
      <x:c r="D18" s="82" t="str">
        <x:v>O-4 over 10; Hill AFB with-dependents BAH</x:v>
      </x:c>
      <x:c r="G18" s="129" t="str">
        <x:f>IF($C18="Yes",$B18,"")</x:f>
      </x:c>
      <x:c r="H18" s="134" t="str">
        <x:f>IF($C18="Yes",'Annual Values'!O$31,"")</x:f>
      </x:c>
      <x:c r="I18" s="134" t="str">
        <x:f>IF($C18="Yes",'Annual Values'!O$32,"")</x:f>
      </x:c>
      <x:c r="J18" s="136" t="str">
        <x:f>IF($C18="Yes",'Indexed Growth'!O$32,"")</x:f>
      </x:c>
      <x:c r="K18" s="69" t="str">
        <x:f>IF($C18="Yes",'Parity Gaps'!O$32,"")</x:f>
      </x:c>
      <x:c r="M18" s="176"/>
      <x:c r="N18" s="177"/>
      <x:c r="O18" s="177"/>
      <x:c r="P18" s="177"/>
      <x:c r="Q18" s="177"/>
      <x:c r="R18" s="178"/>
    </x:row>
    <x:row r="19" ht="24" customHeight="1">
      <x:c r="A19" s="70" t="str">
        <x:v>Military</x:v>
      </x:c>
      <x:c r="B19" s="70" t="str">
        <x:v>O-5</x:v>
      </x:c>
      <x:c r="C19" s="109" t="str">
        <x:v>No</x:v>
      </x:c>
      <x:c r="D19" s="82" t="str">
        <x:v>O-5 over 16; Hill AFB with-dependents BAH</x:v>
      </x:c>
      <x:c r="G19" s="130" t="str">
        <x:f>IF($C19="Yes",$B19,"")</x:f>
      </x:c>
      <x:c r="H19" s="134" t="str">
        <x:f>IF($C19="Yes",'Annual Values'!P$31,"")</x:f>
      </x:c>
      <x:c r="I19" s="134" t="str">
        <x:f>IF($C19="Yes",'Annual Values'!P$32,"")</x:f>
      </x:c>
      <x:c r="J19" s="136" t="str">
        <x:f>IF($C19="Yes",'Indexed Growth'!P$32,"")</x:f>
      </x:c>
      <x:c r="K19" s="69" t="str">
        <x:f>IF($C19="Yes",'Parity Gaps'!P$32,"")</x:f>
      </x:c>
      <x:c r="M19" s="176"/>
      <x:c r="N19" s="177"/>
      <x:c r="O19" s="177"/>
      <x:c r="P19" s="177"/>
      <x:c r="Q19" s="177"/>
      <x:c r="R19" s="178"/>
    </x:row>
    <x:row r="20" ht="24" customHeight="1">
      <x:c r="A20" s="70" t="str">
        <x:v>Military</x:v>
      </x:c>
      <x:c r="B20" s="70" t="str">
        <x:v>O-6</x:v>
      </x:c>
      <x:c r="C20" s="109" t="str">
        <x:v>No</x:v>
      </x:c>
      <x:c r="D20" s="82" t="str">
        <x:v>O-6 over 22; Hill AFB with-dependents BAH</x:v>
      </x:c>
      <x:c r="G20" s="131" t="str">
        <x:f>IF($C20="Yes",$B20,"")</x:f>
      </x:c>
      <x:c r="H20" s="134" t="str">
        <x:f>IF($C20="Yes",'Annual Values'!Q$31,"")</x:f>
      </x:c>
      <x:c r="I20" s="134" t="str">
        <x:f>IF($C20="Yes",'Annual Values'!Q$32,"")</x:f>
      </x:c>
      <x:c r="J20" s="136" t="str">
        <x:f>IF($C20="Yes",'Indexed Growth'!Q$32,"")</x:f>
      </x:c>
      <x:c r="K20" s="69" t="str">
        <x:f>IF($C20="Yes",'Parity Gaps'!Q$32,"")</x:f>
      </x:c>
      <x:c r="M20" s="179"/>
      <x:c r="N20" s="180"/>
      <x:c r="O20" s="180"/>
      <x:c r="P20" s="180"/>
      <x:c r="Q20" s="180"/>
      <x:c r="R20" s="181"/>
    </x:row>
    <x:row r="21" ht="24" customHeight="1">
      <x:c r="A21" s="45" t="str">
        <x:v>Private</x:v>
      </x:c>
      <x:c r="B21" s="45" t="str">
        <x:v>Average private wage</x:v>
      </x:c>
      <x:c r="C21" s="109" t="str">
        <x:v>No</x:v>
      </x:c>
      <x:c r="D21" s="47" t="str">
        <x:v>BLS ECEC average hourly wage × 2,080</x:v>
      </x:c>
      <x:c r="G21" s="132" t="str">
        <x:f>IF($C21="Yes",$B21,"")</x:f>
      </x:c>
      <x:c r="H21" s="134" t="str">
        <x:f>IF($C21="Yes",'Annual Values'!R$31,"")</x:f>
      </x:c>
      <x:c r="I21" s="134" t="str">
        <x:f>IF($C21="Yes",'Annual Values'!R$32,"")</x:f>
      </x:c>
      <x:c r="J21" s="136" t="str">
        <x:f>IF($C21="Yes",'Indexed Growth'!R$32,"")</x:f>
      </x:c>
      <x:c r="K21" s="69" t="str">
        <x:f>IF($C21="Yes",'Parity Gaps'!R$32,"")</x:f>
      </x:c>
    </x:row>
    <x:row r="23">
      <x:c r="A23" s="196" t="str">
        <x:v>2027F is a forecast: 0% GS growth; 6% O-1 through O-3 basic-pay growth; 5% O-4 through O-6; Hill BAH and officer BAS held at 2026; private wage +3.2%. The 2026 private wage is Q1 partial-year.</x:v>
      </x:c>
      <x:c r="B23" s="197"/>
      <x:c r="C23" s="197"/>
      <x:c r="D23" s="197"/>
      <x:c r="E23" s="197"/>
      <x:c r="F23" s="197"/>
      <x:c r="G23" s="197"/>
      <x:c r="H23" s="197"/>
      <x:c r="I23" s="197"/>
      <x:c r="J23" s="197"/>
      <x:c r="K23" s="197"/>
      <x:c r="L23" s="197"/>
      <x:c r="M23" s="197"/>
      <x:c r="N23" s="197"/>
      <x:c r="O23" s="197"/>
      <x:c r="P23" s="197"/>
      <x:c r="Q23" s="197"/>
      <x:c r="R23" s="198"/>
    </x:row>
    <x:row r="24">
      <x:c r="A24" s="199"/>
      <x:c r="B24" s="200"/>
      <x:c r="C24" s="200"/>
      <x:c r="D24" s="200"/>
      <x:c r="E24" s="200"/>
      <x:c r="F24" s="200"/>
      <x:c r="G24" s="200"/>
      <x:c r="H24" s="200"/>
      <x:c r="I24" s="200"/>
      <x:c r="J24" s="200"/>
      <x:c r="K24" s="200"/>
      <x:c r="L24" s="200"/>
      <x:c r="M24" s="200"/>
      <x:c r="N24" s="200"/>
      <x:c r="O24" s="200"/>
      <x:c r="P24" s="200"/>
      <x:c r="Q24" s="200"/>
      <x:c r="R24" s="201"/>
    </x:row>
  </x:sheetData>
  <x:mergeCells>
    <x:mergeCell ref="A1:R1"/>
    <x:mergeCell ref="A2:R2"/>
    <x:mergeCell ref="M5:N5"/>
    <x:mergeCell ref="M6:N7"/>
    <x:mergeCell ref="O5:P5"/>
    <x:mergeCell ref="O6:P7"/>
    <x:mergeCell ref="Q5:R5"/>
    <x:mergeCell ref="Q6:R7"/>
    <x:mergeCell ref="M9:R9"/>
    <x:mergeCell ref="M10:R20"/>
    <x:mergeCell ref="A23:R24"/>
  </x:mergeCells>
  <x:conditionalFormatting sqref="C6:C21">
    <x:cfRule type="containsText" dxfId="0" priority="1" operator="containsText" text="Yes"/>
    <x:cfRule type="containsText" dxfId="1" priority="2" operator="containsText" text="No"/>
  </x:conditionalFormatting>
  <x:dataValidations count="4">
    <x:dataValidation type="list" sqref="B4">
      <x:formula1>'Assumptions &amp; Sources'!$H$6:$H$21</x:formula1>
    </x:dataValidation>
    <x:dataValidation type="list" sqref="E4">
      <x:formula1>"New-hire after FERS,Published gross salary"</x:formula1>
    </x:dataValidation>
    <x:dataValidation type="list" sqref="H4">
      <x:formula1>"Taxable-salary equivalent,Total compensation (basic pay + BAH + BAS)"</x:formula1>
    </x:dataValidation>
    <x:dataValidation type="list" sqref="C6:C21">
      <x:formula1>"Yes,No"</x:formula1>
    </x:dataValidation>
  </x:dataValidations>
  <x:pageMargins left="0.7" right="0.7" top="0.75" bottom="0.75" header="0.3" footer="0.3"/>
  <x:drawing xmlns:r="http://schemas.openxmlformats.org/officeDocument/2006/relationships" r:id="R6045a672e3664ec9"/>
  <x:legacyDrawing xmlns:r="http://schemas.openxmlformats.org/officeDocument/2006/relationships" r:id="R96304670b17244d1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</x:cols>
  <x:sheetData>
    <x:row r="1" ht="32" customHeight="1">
      <x:c r="A1" s="3" t="str">
        <x:v>Annual Values by Selected Compensation Basis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ht="34" customHeight="1">
      <x:c r="A2" s="7" t="str">
        <x:v>Then-year nominal dollars. GS basis and military basis are controlled on Dashboard; private wage is BLS hourly × 2,080.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</x:row>
    <x:row r="5" ht="32" customHeight="1">
      <x:c r="A5" s="13" t="str">
        <x:v>Year</x:v>
      </x:c>
      <x:c r="B5" s="13" t="str">
        <x:v>Status</x:v>
      </x:c>
      <x:c r="C5" s="13" t="str">
        <x:v>GS-7 step 1</x:v>
      </x:c>
      <x:c r="D5" s="13" t="str">
        <x:v>GS-9 step 1</x:v>
      </x:c>
      <x:c r="E5" s="13" t="str">
        <x:v>GS-11 step 1</x:v>
      </x:c>
      <x:c r="F5" s="13" t="str">
        <x:v>GS-12 step 1</x:v>
      </x:c>
      <x:c r="G5" s="13" t="str">
        <x:v>GS-13 step 1</x:v>
      </x:c>
      <x:c r="H5" s="13" t="str">
        <x:v>GS-13 step 10</x:v>
      </x:c>
      <x:c r="I5" s="13" t="str">
        <x:v>GS-14 step 1</x:v>
      </x:c>
      <x:c r="J5" s="13" t="str">
        <x:v>GS-15 step 1</x:v>
      </x:c>
      <x:c r="K5" s="13" t="str">
        <x:v>GS-15 step 10</x:v>
      </x:c>
      <x:c r="L5" s="13" t="str">
        <x:v>O-1</x:v>
      </x:c>
      <x:c r="M5" s="13" t="str">
        <x:v>O-2</x:v>
      </x:c>
      <x:c r="N5" s="13" t="str">
        <x:v>O-3</x:v>
      </x:c>
      <x:c r="O5" s="13" t="str">
        <x:v>O-4</x:v>
      </x:c>
      <x:c r="P5" s="13" t="str">
        <x:v>O-5</x:v>
      </x:c>
      <x:c r="Q5" s="13" t="str">
        <x:v>O-6</x:v>
      </x:c>
      <x:c r="R5" s="13" t="str">
        <x:v>Average private wage</x:v>
      </x:c>
    </x:row>
    <x:row r="6">
      <x:c r="A6" s="44" t="n">
        <x:v>2001</x:v>
      </x:c>
      <x:c r="B6" s="44" t="str">
        <x:v>Actual</x:v>
      </x:c>
      <x:c r="C6" s="66" t="n">
        <x:f>IF('Dashboard'!$E$4="New-hire after FERS",'GS Source'!E6,'GS Source'!D6)</x:f>
        <x:v>29038.816</x:v>
      </x:c>
      <x:c r="D6" s="66" t="n">
        <x:f>IF('Dashboard'!$E$4="New-hire after FERS",'GS Source'!G6,'GS Source'!F6)</x:f>
        <x:v>35521.536</x:v>
      </x:c>
      <x:c r="E6" s="66" t="n">
        <x:f>IF('Dashboard'!$E$4="New-hire after FERS",'GS Source'!I6,'GS Source'!H6)</x:f>
        <x:v>42979.392</x:v>
      </x:c>
      <x:c r="F6" s="66" t="n">
        <x:f>IF('Dashboard'!$E$4="New-hire after FERS",'GS Source'!K6,'GS Source'!J6)</x:f>
        <x:v>51511.584</x:v>
      </x:c>
      <x:c r="G6" s="66" t="n">
        <x:f>IF('Dashboard'!$E$4="New-hire after FERS",'GS Source'!M6,'GS Source'!L6)</x:f>
        <x:v>61255.008</x:v>
      </x:c>
      <x:c r="H6" s="66" t="n">
        <x:f>IF('Dashboard'!$E$4="New-hire after FERS",'GS Source'!O6,'GS Source'!N6)</x:f>
        <x:v>79636.768</x:v>
      </x:c>
      <x:c r="I6" s="66" t="n">
        <x:f>IF('Dashboard'!$E$4="New-hire after FERS",'GS Source'!Q6,'GS Source'!P6)</x:f>
        <x:v>72385.24799999999</x:v>
      </x:c>
      <x:c r="J6" s="66" t="n">
        <x:f>IF('Dashboard'!$E$4="New-hire after FERS",'GS Source'!S6,'GS Source'!R6)</x:f>
        <x:v>85145.344</x:v>
      </x:c>
      <x:c r="K6" s="66" t="n">
        <x:f>IF('Dashboard'!$E$4="New-hire after FERS",'GS Source'!U6,'GS Source'!T6)</x:f>
        <x:v>110688.352</x:v>
      </x:c>
      <x:c r="L6" s="66" t="n">
        <x:f>IF('Dashboard'!$H$4="Taxable-salary equivalent",SUMIFS('Military Detail'!$O$6:$O$167,'Military Detail'!$A$6:$A$167,$A6,'Military Detail'!$C$6:$C$167,L$5),SUMIFS('Military Detail'!$M$6:$M$167,'Military Detail'!$A$6:$A$167,$A6,'Military Detail'!$C$6:$C$167,L$5))</x:f>
        <x:v>36855.78461538462</x:v>
      </x:c>
      <x:c r="M6" s="66" t="n">
        <x:f>IF('Dashboard'!$H$4="Taxable-salary equivalent",SUMIFS('Military Detail'!$O$6:$O$167,'Military Detail'!$A$6:$A$167,$A6,'Military Detail'!$C$6:$C$167,M$5),SUMIFS('Military Detail'!$M$6:$M$167,'Military Detail'!$A$6:$A$167,$A6,'Military Detail'!$C$6:$C$167,M$5))</x:f>
        <x:v>45625.29230769232</x:v>
      </x:c>
      <x:c r="N6" s="66" t="n">
        <x:f>IF('Dashboard'!$H$4="Taxable-salary equivalent",SUMIFS('Military Detail'!$O$6:$O$167,'Military Detail'!$A$6:$A$167,$A6,'Military Detail'!$C$6:$C$167,N$5),SUMIFS('Military Detail'!$M$6:$M$167,'Military Detail'!$A$6:$A$167,$A6,'Military Detail'!$C$6:$C$167,N$5))</x:f>
        <x:v>59452.492307692315</x:v>
      </x:c>
      <x:c r="O6" s="66" t="n">
        <x:f>IF('Dashboard'!$H$4="Taxable-salary equivalent",SUMIFS('Military Detail'!$O$6:$O$167,'Military Detail'!$A$6:$A$167,$A6,'Military Detail'!$C$6:$C$167,O$5),SUMIFS('Military Detail'!$M$6:$M$167,'Military Detail'!$A$6:$A$167,$A6,'Military Detail'!$C$6:$C$167,O$5))</x:f>
        <x:v>69538.24615384614</x:v>
      </x:c>
      <x:c r="P6" s="66" t="n">
        <x:f>IF('Dashboard'!$H$4="Taxable-salary equivalent",SUMIFS('Military Detail'!$O$6:$O$167,'Military Detail'!$A$6:$A$167,$A6,'Military Detail'!$C$6:$C$167,P$5),SUMIFS('Military Detail'!$M$6:$M$167,'Military Detail'!$A$6:$A$167,$A6,'Military Detail'!$C$6:$C$167,P$5))</x:f>
        <x:v>85188.92307692306</x:v>
      </x:c>
      <x:c r="Q6" s="66" t="n">
        <x:f>IF('Dashboard'!$H$4="Taxable-salary equivalent",SUMIFS('Military Detail'!$O$6:$O$167,'Military Detail'!$A$6:$A$167,$A6,'Military Detail'!$C$6:$C$167,Q$5),SUMIFS('Military Detail'!$M$6:$M$167,'Military Detail'!$A$6:$A$167,$A6,'Military Detail'!$C$6:$C$167,Q$5))</x:f>
        <x:v>99303.26153846152</x:v>
      </x:c>
      <x:c r="R6" s="66" t="n">
        <x:f>'Private Wage'!$E6</x:f>
        <x:v>31574.399999999998</x:v>
      </x:c>
    </x:row>
    <x:row r="7">
      <x:c r="A7" s="45" t="n">
        <x:v>2002</x:v>
      </x:c>
      <x:c r="B7" s="45" t="str">
        <x:v>Actual</x:v>
      </x:c>
      <x:c r="C7" s="67" t="n">
        <x:f>IF('Dashboard'!$E$4="New-hire after FERS",'GS Source'!E7,'GS Source'!D7)</x:f>
        <x:v>30352.224</x:v>
      </x:c>
      <x:c r="D7" s="67" t="n">
        <x:f>IF('Dashboard'!$E$4="New-hire after FERS",'GS Source'!G7,'GS Source'!F7)</x:f>
        <x:v>37128.576</x:v>
      </x:c>
      <x:c r="E7" s="67" t="n">
        <x:f>IF('Dashboard'!$E$4="New-hire after FERS",'GS Source'!I7,'GS Source'!H7)</x:f>
        <x:v>44922.72</x:v>
      </x:c>
      <x:c r="F7" s="67" t="n">
        <x:f>IF('Dashboard'!$E$4="New-hire after FERS",'GS Source'!K7,'GS Source'!J7)</x:f>
        <x:v>53840.8</x:v>
      </x:c>
      <x:c r="G7" s="67" t="n">
        <x:f>IF('Dashboard'!$E$4="New-hire after FERS",'GS Source'!M7,'GS Source'!L7)</x:f>
        <x:v>64025.664</x:v>
      </x:c>
      <x:c r="H7" s="67" t="n">
        <x:f>IF('Dashboard'!$E$4="New-hire after FERS",'GS Source'!O7,'GS Source'!N7)</x:f>
        <x:v>83230.784</x:v>
      </x:c>
      <x:c r="I7" s="67" t="n">
        <x:f>IF('Dashboard'!$E$4="New-hire after FERS",'GS Source'!Q7,'GS Source'!P7)</x:f>
        <x:v>75660.832</x:v>
      </x:c>
      <x:c r="J7" s="67" t="n">
        <x:f>IF('Dashboard'!$E$4="New-hire after FERS",'GS Source'!S7,'GS Source'!R7)</x:f>
        <x:v>88997.28</x:v>
      </x:c>
      <x:c r="K7" s="67" t="n">
        <x:f>IF('Dashboard'!$E$4="New-hire after FERS",'GS Source'!U7,'GS Source'!T7)</x:f>
        <x:v>115699.936</x:v>
      </x:c>
      <x:c r="L7" s="67" t="n">
        <x:f>IF('Dashboard'!$H$4="Taxable-salary equivalent",SUMIFS('Military Detail'!$O$6:$O$167,'Military Detail'!$A$6:$A$167,$A7,'Military Detail'!$C$6:$C$167,L$5),SUMIFS('Military Detail'!$M$6:$M$167,'Military Detail'!$A$6:$A$167,$A7,'Military Detail'!$C$6:$C$167,L$5))</x:f>
        <x:v>38146.123076923075</x:v>
      </x:c>
      <x:c r="M7" s="67" t="n">
        <x:f>IF('Dashboard'!$H$4="Taxable-salary equivalent",SUMIFS('Military Detail'!$O$6:$O$167,'Military Detail'!$A$6:$A$167,$A7,'Military Detail'!$C$6:$C$167,M$5),SUMIFS('Military Detail'!$M$6:$M$167,'Military Detail'!$A$6:$A$167,$A7,'Military Detail'!$C$6:$C$167,M$5))</x:f>
        <x:v>47290.030769230776</x:v>
      </x:c>
      <x:c r="N7" s="67" t="n">
        <x:f>IF('Dashboard'!$H$4="Taxable-salary equivalent",SUMIFS('Military Detail'!$O$6:$O$167,'Military Detail'!$A$6:$A$167,$A7,'Military Detail'!$C$6:$C$167,N$5),SUMIFS('Military Detail'!$M$6:$M$167,'Military Detail'!$A$6:$A$167,$A7,'Military Detail'!$C$6:$C$167,N$5))</x:f>
        <x:v>62344.86153846153</x:v>
      </x:c>
      <x:c r="O7" s="67" t="n">
        <x:f>IF('Dashboard'!$H$4="Taxable-salary equivalent",SUMIFS('Military Detail'!$O$6:$O$167,'Military Detail'!$A$6:$A$167,$A7,'Military Detail'!$C$6:$C$167,O$5),SUMIFS('Military Detail'!$M$6:$M$167,'Military Detail'!$A$6:$A$167,$A7,'Military Detail'!$C$6:$C$167,O$5))</x:f>
        <x:v>73313.93846153846</x:v>
      </x:c>
      <x:c r="P7" s="67" t="n">
        <x:f>IF('Dashboard'!$H$4="Taxable-salary equivalent",SUMIFS('Military Detail'!$O$6:$O$167,'Military Detail'!$A$6:$A$167,$A7,'Military Detail'!$C$6:$C$167,P$5),SUMIFS('Military Detail'!$M$6:$M$167,'Military Detail'!$A$6:$A$167,$A7,'Military Detail'!$C$6:$C$167,P$5))</x:f>
        <x:v>88772.15384615384</x:v>
      </x:c>
      <x:c r="Q7" s="67" t="n">
        <x:f>IF('Dashboard'!$H$4="Taxable-salary equivalent",SUMIFS('Military Detail'!$O$6:$O$167,'Military Detail'!$A$6:$A$167,$A7,'Military Detail'!$C$6:$C$167,Q$5),SUMIFS('Military Detail'!$M$6:$M$167,'Military Detail'!$A$6:$A$167,$A7,'Military Detail'!$C$6:$C$167,Q$5))</x:f>
        <x:v>103470</x:v>
      </x:c>
      <x:c r="R7" s="67" t="n">
        <x:f>'Private Wage'!$E7</x:f>
        <x:v>33165.6</x:v>
      </x:c>
    </x:row>
    <x:row r="8">
      <x:c r="A8" s="45" t="n">
        <x:v>2003</x:v>
      </x:c>
      <x:c r="B8" s="45" t="str">
        <x:v>Actual</x:v>
      </x:c>
      <x:c r="C8" s="67" t="n">
        <x:f>IF('Dashboard'!$E$4="New-hire after FERS",'GS Source'!E8,'GS Source'!D8)</x:f>
        <x:v>31575.36</x:v>
      </x:c>
      <x:c r="D8" s="67" t="n">
        <x:f>IF('Dashboard'!$E$4="New-hire after FERS",'GS Source'!G8,'GS Source'!F8)</x:f>
        <x:v>38624.512</x:v>
      </x:c>
      <x:c r="E8" s="67" t="n">
        <x:f>IF('Dashboard'!$E$4="New-hire after FERS",'GS Source'!I8,'GS Source'!H8)</x:f>
        <x:v>46733.12</x:v>
      </x:c>
      <x:c r="F8" s="67" t="n">
        <x:f>IF('Dashboard'!$E$4="New-hire after FERS",'GS Source'!K8,'GS Source'!J8)</x:f>
        <x:v>56011.296</x:v>
      </x:c>
      <x:c r="G8" s="67" t="n">
        <x:f>IF('Dashboard'!$E$4="New-hire after FERS",'GS Source'!M8,'GS Source'!L8)</x:f>
        <x:v>66605.856</x:v>
      </x:c>
      <x:c r="H8" s="67" t="n">
        <x:f>IF('Dashboard'!$E$4="New-hire after FERS",'GS Source'!O8,'GS Source'!N8)</x:f>
        <x:v>86590.688</x:v>
      </x:c>
      <x:c r="I8" s="67" t="n">
        <x:f>IF('Dashboard'!$E$4="New-hire after FERS",'GS Source'!Q8,'GS Source'!P8)</x:f>
        <x:v>78709.24799999999</x:v>
      </x:c>
      <x:c r="J8" s="67" t="n">
        <x:f>IF('Dashboard'!$E$4="New-hire after FERS",'GS Source'!S8,'GS Source'!R8)</x:f>
        <x:v>92583.36</x:v>
      </x:c>
      <x:c r="K8" s="67" t="n">
        <x:f>IF('Dashboard'!$E$4="New-hire after FERS",'GS Source'!U8,'GS Source'!T8)</x:f>
        <x:v>120359.36</x:v>
      </x:c>
      <x:c r="L8" s="67" t="n">
        <x:f>IF('Dashboard'!$H$4="Taxable-salary equivalent",SUMIFS('Military Detail'!$O$6:$O$167,'Military Detail'!$A$6:$A$167,$A8,'Military Detail'!$C$6:$C$167,L$5),SUMIFS('Military Detail'!$M$6:$M$167,'Military Detail'!$A$6:$A$167,$A8,'Military Detail'!$C$6:$C$167,L$5))</x:f>
        <x:v>39192.092307692306</x:v>
      </x:c>
      <x:c r="M8" s="67" t="n">
        <x:f>IF('Dashboard'!$H$4="Taxable-salary equivalent",SUMIFS('Military Detail'!$O$6:$O$167,'Military Detail'!$A$6:$A$167,$A8,'Military Detail'!$C$6:$C$167,M$5),SUMIFS('Military Detail'!$M$6:$M$167,'Military Detail'!$A$6:$A$167,$A8,'Military Detail'!$C$6:$C$167,M$5))</x:f>
        <x:v>49317.938461538455</x:v>
      </x:c>
      <x:c r="N8" s="67" t="n">
        <x:f>IF('Dashboard'!$H$4="Taxable-salary equivalent",SUMIFS('Military Detail'!$O$6:$O$167,'Military Detail'!$A$6:$A$167,$A8,'Military Detail'!$C$6:$C$167,N$5),SUMIFS('Military Detail'!$M$6:$M$167,'Military Detail'!$A$6:$A$167,$A8,'Military Detail'!$C$6:$C$167,N$5))</x:f>
        <x:v>64821.69230769231</x:v>
      </x:c>
      <x:c r="O8" s="67" t="n">
        <x:f>IF('Dashboard'!$H$4="Taxable-salary equivalent",SUMIFS('Military Detail'!$O$6:$O$167,'Military Detail'!$A$6:$A$167,$A8,'Military Detail'!$C$6:$C$167,O$5),SUMIFS('Military Detail'!$M$6:$M$167,'Military Detail'!$A$6:$A$167,$A8,'Military Detail'!$C$6:$C$167,O$5))</x:f>
        <x:v>76810.92307692306</x:v>
      </x:c>
      <x:c r="P8" s="67" t="n">
        <x:f>IF('Dashboard'!$H$4="Taxable-salary equivalent",SUMIFS('Military Detail'!$O$6:$O$167,'Military Detail'!$A$6:$A$167,$A8,'Military Detail'!$C$6:$C$167,P$5),SUMIFS('Military Detail'!$M$6:$M$167,'Military Detail'!$A$6:$A$167,$A8,'Military Detail'!$C$6:$C$167,P$5))</x:f>
        <x:v>90228.95384615383</x:v>
      </x:c>
      <x:c r="Q8" s="67" t="n">
        <x:f>IF('Dashboard'!$H$4="Taxable-salary equivalent",SUMIFS('Military Detail'!$O$6:$O$167,'Military Detail'!$A$6:$A$167,$A8,'Military Detail'!$C$6:$C$167,Q$5),SUMIFS('Military Detail'!$M$6:$M$167,'Military Detail'!$A$6:$A$167,$A8,'Military Detail'!$C$6:$C$167,Q$5))</x:f>
        <x:v>107531.23076923077</x:v>
      </x:c>
      <x:c r="R8" s="67" t="n">
        <x:f>'Private Wage'!$E8</x:f>
        <x:v>34013.2</x:v>
      </x:c>
    </x:row>
    <x:row r="9">
      <x:c r="A9" s="45" t="n">
        <x:v>2004</x:v>
      </x:c>
      <x:c r="B9" s="45" t="str">
        <x:v>Actual</x:v>
      </x:c>
      <x:c r="C9" s="67" t="n">
        <x:f>IF('Dashboard'!$E$4="New-hire after FERS",'GS Source'!E9,'GS Source'!D9)</x:f>
        <x:v>32806.432</x:v>
      </x:c>
      <x:c r="D9" s="67" t="n">
        <x:f>IF('Dashboard'!$E$4="New-hire after FERS",'GS Source'!G9,'GS Source'!F9)</x:f>
        <x:v>40130.368</x:v>
      </x:c>
      <x:c r="E9" s="67" t="n">
        <x:f>IF('Dashboard'!$E$4="New-hire after FERS",'GS Source'!I9,'GS Source'!H9)</x:f>
        <x:v>48555.424</x:v>
      </x:c>
      <x:c r="F9" s="67" t="n">
        <x:f>IF('Dashboard'!$E$4="New-hire after FERS",'GS Source'!K9,'GS Source'!J9)</x:f>
        <x:v>58195.68</x:v>
      </x:c>
      <x:c r="G9" s="67" t="n">
        <x:f>IF('Dashboard'!$E$4="New-hire after FERS",'GS Source'!M9,'GS Source'!L9)</x:f>
        <x:v>69203.904</x:v>
      </x:c>
      <x:c r="H9" s="67" t="n">
        <x:f>IF('Dashboard'!$E$4="New-hire after FERS",'GS Source'!O9,'GS Source'!N9)</x:f>
        <x:v>89966.46399999999</x:v>
      </x:c>
      <x:c r="I9" s="67" t="n">
        <x:f>IF('Dashboard'!$E$4="New-hire after FERS",'GS Source'!Q9,'GS Source'!P9)</x:f>
        <x:v>81778.496</x:v>
      </x:c>
      <x:c r="J9" s="67" t="n">
        <x:f>IF('Dashboard'!$E$4="New-hire after FERS",'GS Source'!S9,'GS Source'!R9)</x:f>
        <x:v>96194.24</x:v>
      </x:c>
      <x:c r="K9" s="67" t="n">
        <x:f>IF('Dashboard'!$E$4="New-hire after FERS",'GS Source'!U9,'GS Source'!T9)</x:f>
        <x:v>125055.488</x:v>
      </x:c>
      <x:c r="L9" s="67" t="n">
        <x:f>IF('Dashboard'!$H$4="Taxable-salary equivalent",SUMIFS('Military Detail'!$O$6:$O$167,'Military Detail'!$A$6:$A$167,$A9,'Military Detail'!$C$6:$C$167,L$5),SUMIFS('Military Detail'!$M$6:$M$167,'Military Detail'!$A$6:$A$167,$A9,'Military Detail'!$C$6:$C$167,L$5))</x:f>
        <x:v>41191.72307692308</x:v>
      </x:c>
      <x:c r="M9" s="67" t="n">
        <x:f>IF('Dashboard'!$H$4="Taxable-salary equivalent",SUMIFS('Military Detail'!$O$6:$O$167,'Military Detail'!$A$6:$A$167,$A9,'Military Detail'!$C$6:$C$167,M$5),SUMIFS('Military Detail'!$M$6:$M$167,'Military Detail'!$A$6:$A$167,$A9,'Military Detail'!$C$6:$C$167,M$5))</x:f>
        <x:v>51066.123076923075</x:v>
      </x:c>
      <x:c r="N9" s="67" t="n">
        <x:f>IF('Dashboard'!$H$4="Taxable-salary equivalent",SUMIFS('Military Detail'!$O$6:$O$167,'Military Detail'!$A$6:$A$167,$A9,'Military Detail'!$C$6:$C$167,N$5),SUMIFS('Military Detail'!$M$6:$M$167,'Military Detail'!$A$6:$A$167,$A9,'Military Detail'!$C$6:$C$167,N$5))</x:f>
        <x:v>67352.43076923078</x:v>
      </x:c>
      <x:c r="O9" s="67" t="n">
        <x:f>IF('Dashboard'!$H$4="Taxable-salary equivalent",SUMIFS('Military Detail'!$O$6:$O$167,'Military Detail'!$A$6:$A$167,$A9,'Military Detail'!$C$6:$C$167,O$5),SUMIFS('Military Detail'!$M$6:$M$167,'Military Detail'!$A$6:$A$167,$A9,'Military Detail'!$C$6:$C$167,O$5))</x:f>
        <x:v>80026.36923076923</x:v>
      </x:c>
      <x:c r="P9" s="67" t="n">
        <x:f>IF('Dashboard'!$H$4="Taxable-salary equivalent",SUMIFS('Military Detail'!$O$6:$O$167,'Military Detail'!$A$6:$A$167,$A9,'Military Detail'!$C$6:$C$167,P$5),SUMIFS('Military Detail'!$M$6:$M$167,'Military Detail'!$A$6:$A$167,$A9,'Military Detail'!$C$6:$C$167,P$5))</x:f>
        <x:v>94089.81538461539</x:v>
      </x:c>
      <x:c r="Q9" s="67" t="n">
        <x:f>IF('Dashboard'!$H$4="Taxable-salary equivalent",SUMIFS('Military Detail'!$O$6:$O$167,'Military Detail'!$A$6:$A$167,$A9,'Military Detail'!$C$6:$C$167,Q$5),SUMIFS('Military Detail'!$M$6:$M$167,'Military Detail'!$A$6:$A$167,$A9,'Military Detail'!$C$6:$C$167,Q$5))</x:f>
        <x:v>112044.67692307693</x:v>
      </x:c>
      <x:c r="R9" s="67" t="n">
        <x:f>'Private Wage'!$E9</x:f>
        <x:v>35011.6</x:v>
      </x:c>
    </x:row>
    <x:row r="10">
      <x:c r="A10" s="45" t="n">
        <x:v>2005</x:v>
      </x:c>
      <x:c r="B10" s="45" t="str">
        <x:v>Actual</x:v>
      </x:c>
      <x:c r="C10" s="67" t="n">
        <x:f>IF('Dashboard'!$E$4="New-hire after FERS",'GS Source'!E10,'GS Source'!D10)</x:f>
        <x:v>33875.808</x:v>
      </x:c>
      <x:c r="D10" s="67" t="n">
        <x:f>IF('Dashboard'!$E$4="New-hire after FERS",'GS Source'!G10,'GS Source'!F10)</x:f>
        <x:v>41437.824</x:v>
      </x:c>
      <x:c r="E10" s="67" t="n">
        <x:f>IF('Dashboard'!$E$4="New-hire after FERS",'GS Source'!I10,'GS Source'!H10)</x:f>
        <x:v>50136.672</x:v>
      </x:c>
      <x:c r="F10" s="67" t="n">
        <x:f>IF('Dashboard'!$E$4="New-hire after FERS",'GS Source'!K10,'GS Source'!J10)</x:f>
        <x:v>60091.392</x:v>
      </x:c>
      <x:c r="G10" s="67" t="n">
        <x:f>IF('Dashboard'!$E$4="New-hire after FERS",'GS Source'!M10,'GS Source'!L10)</x:f>
        <x:v>71458.72</x:v>
      </x:c>
      <x:c r="H10" s="67" t="n">
        <x:f>IF('Dashboard'!$E$4="New-hire after FERS",'GS Source'!O10,'GS Source'!N10)</x:f>
        <x:v>92893.856</x:v>
      </x:c>
      <x:c r="I10" s="67" t="n">
        <x:f>IF('Dashboard'!$E$4="New-hire after FERS",'GS Source'!Q10,'GS Source'!P10)</x:f>
        <x:v>84442.016</x:v>
      </x:c>
      <x:c r="J10" s="67" t="n">
        <x:f>IF('Dashboard'!$E$4="New-hire after FERS",'GS Source'!S10,'GS Source'!R10)</x:f>
        <x:v>99327.968</x:v>
      </x:c>
      <x:c r="K10" s="67" t="n">
        <x:f>IF('Dashboard'!$E$4="New-hire after FERS",'GS Source'!U10,'GS Source'!T10)</x:f>
        <x:v>129131.616</x:v>
      </x:c>
      <x:c r="L10" s="67" t="n">
        <x:f>IF('Dashboard'!$H$4="Taxable-salary equivalent",SUMIFS('Military Detail'!$O$6:$O$167,'Military Detail'!$A$6:$A$167,$A10,'Military Detail'!$C$6:$C$167,L$5),SUMIFS('Military Detail'!$M$6:$M$167,'Military Detail'!$A$6:$A$167,$A10,'Military Detail'!$C$6:$C$167,L$5))</x:f>
        <x:v>42938.43076923076</x:v>
      </x:c>
      <x:c r="M10" s="67" t="n">
        <x:f>IF('Dashboard'!$H$4="Taxable-salary equivalent",SUMIFS('Military Detail'!$O$6:$O$167,'Military Detail'!$A$6:$A$167,$A10,'Military Detail'!$C$6:$C$167,M$5),SUMIFS('Military Detail'!$M$6:$M$167,'Military Detail'!$A$6:$A$167,$A10,'Military Detail'!$C$6:$C$167,M$5))</x:f>
        <x:v>53757.784615384604</x:v>
      </x:c>
      <x:c r="N10" s="67" t="n">
        <x:f>IF('Dashboard'!$H$4="Taxable-salary equivalent",SUMIFS('Military Detail'!$O$6:$O$167,'Military Detail'!$A$6:$A$167,$A10,'Military Detail'!$C$6:$C$167,N$5),SUMIFS('Military Detail'!$M$6:$M$167,'Military Detail'!$A$6:$A$167,$A10,'Military Detail'!$C$6:$C$167,N$5))</x:f>
        <x:v>71073.78461538462</x:v>
      </x:c>
      <x:c r="O10" s="67" t="n">
        <x:f>IF('Dashboard'!$H$4="Taxable-salary equivalent",SUMIFS('Military Detail'!$O$6:$O$167,'Military Detail'!$A$6:$A$167,$A10,'Military Detail'!$C$6:$C$167,O$5),SUMIFS('Military Detail'!$M$6:$M$167,'Military Detail'!$A$6:$A$167,$A10,'Military Detail'!$C$6:$C$167,O$5))</x:f>
        <x:v>84240.61538461539</x:v>
      </x:c>
      <x:c r="P10" s="67" t="n">
        <x:f>IF('Dashboard'!$H$4="Taxable-salary equivalent",SUMIFS('Military Detail'!$O$6:$O$167,'Military Detail'!$A$6:$A$167,$A10,'Military Detail'!$C$6:$C$167,P$5),SUMIFS('Military Detail'!$M$6:$M$167,'Military Detail'!$A$6:$A$167,$A10,'Military Detail'!$C$6:$C$167,P$5))</x:f>
        <x:v>98834.58461538464</x:v>
      </x:c>
      <x:c r="Q10" s="67" t="n">
        <x:f>IF('Dashboard'!$H$4="Taxable-salary equivalent",SUMIFS('Military Detail'!$O$6:$O$167,'Military Detail'!$A$6:$A$167,$A10,'Military Detail'!$C$6:$C$167,Q$5),SUMIFS('Military Detail'!$M$6:$M$167,'Military Detail'!$A$6:$A$167,$A10,'Military Detail'!$C$6:$C$167,Q$5))</x:f>
        <x:v>117427.63076923077</x:v>
      </x:c>
      <x:c r="R10" s="67" t="n">
        <x:f>'Private Wage'!$E10</x:f>
        <x:v>35932.00000000001</x:v>
      </x:c>
    </x:row>
    <x:row r="11">
      <x:c r="A11" s="45" t="n">
        <x:v>2006</x:v>
      </x:c>
      <x:c r="B11" s="45" t="str">
        <x:v>Actual</x:v>
      </x:c>
      <x:c r="C11" s="67" t="n">
        <x:f>IF('Dashboard'!$E$4="New-hire after FERS",'GS Source'!E11,'GS Source'!D11)</x:f>
        <x:v>34835.072</x:v>
      </x:c>
      <x:c r="D11" s="67" t="n">
        <x:f>IF('Dashboard'!$E$4="New-hire after FERS",'GS Source'!G11,'GS Source'!F11)</x:f>
        <x:v>42611.36</x:v>
      </x:c>
      <x:c r="E11" s="67" t="n">
        <x:f>IF('Dashboard'!$E$4="New-hire after FERS",'GS Source'!I11,'GS Source'!H11)</x:f>
        <x:v>51556.224</x:v>
      </x:c>
      <x:c r="F11" s="67" t="n">
        <x:f>IF('Dashboard'!$E$4="New-hire after FERS",'GS Source'!K11,'GS Source'!J11)</x:f>
        <x:v>61792.672</x:v>
      </x:c>
      <x:c r="G11" s="67" t="n">
        <x:f>IF('Dashboard'!$E$4="New-hire after FERS",'GS Source'!M11,'GS Source'!L11)</x:f>
        <x:v>73481.408</x:v>
      </x:c>
      <x:c r="H11" s="67" t="n">
        <x:f>IF('Dashboard'!$E$4="New-hire after FERS",'GS Source'!O11,'GS Source'!N11)</x:f>
        <x:v>95521.664</x:v>
      </x:c>
      <x:c r="I11" s="67" t="n">
        <x:f>IF('Dashboard'!$E$4="New-hire after FERS",'GS Source'!Q11,'GS Source'!P11)</x:f>
        <x:v>86832.736</x:v>
      </x:c>
      <x:c r="J11" s="67" t="n">
        <x:f>IF('Dashboard'!$E$4="New-hire after FERS",'GS Source'!S11,'GS Source'!R11)</x:f>
        <x:v>102140.288</x:v>
      </x:c>
      <x:c r="K11" s="67" t="n">
        <x:f>IF('Dashboard'!$E$4="New-hire after FERS",'GS Source'!U11,'GS Source'!T11)</x:f>
        <x:v>132779.2</x:v>
      </x:c>
      <x:c r="L11" s="67" t="n">
        <x:f>IF('Dashboard'!$H$4="Taxable-salary equivalent",SUMIFS('Military Detail'!$O$6:$O$167,'Military Detail'!$A$6:$A$167,$A11,'Military Detail'!$C$6:$C$167,L$5),SUMIFS('Military Detail'!$M$6:$M$167,'Military Detail'!$A$6:$A$167,$A11,'Military Detail'!$C$6:$C$167,L$5))</x:f>
        <x:v>44094.24615384614</x:v>
      </x:c>
      <x:c r="M11" s="67" t="n">
        <x:f>IF('Dashboard'!$H$4="Taxable-salary equivalent",SUMIFS('Military Detail'!$O$6:$O$167,'Military Detail'!$A$6:$A$167,$A11,'Military Detail'!$C$6:$C$167,M$5),SUMIFS('Military Detail'!$M$6:$M$167,'Military Detail'!$A$6:$A$167,$A11,'Military Detail'!$C$6:$C$167,M$5))</x:f>
        <x:v>55217.969230769224</x:v>
      </x:c>
      <x:c r="N11" s="67" t="n">
        <x:f>IF('Dashboard'!$H$4="Taxable-salary equivalent",SUMIFS('Military Detail'!$O$6:$O$167,'Military Detail'!$A$6:$A$167,$A11,'Military Detail'!$C$6:$C$167,N$5),SUMIFS('Military Detail'!$M$6:$M$167,'Military Detail'!$A$6:$A$167,$A11,'Military Detail'!$C$6:$C$167,N$5))</x:f>
        <x:v>73658.92307692308</x:v>
      </x:c>
      <x:c r="O11" s="67" t="n">
        <x:f>IF('Dashboard'!$H$4="Taxable-salary equivalent",SUMIFS('Military Detail'!$O$6:$O$167,'Military Detail'!$A$6:$A$167,$A11,'Military Detail'!$C$6:$C$167,O$5),SUMIFS('Military Detail'!$M$6:$M$167,'Military Detail'!$A$6:$A$167,$A11,'Military Detail'!$C$6:$C$167,O$5))</x:f>
        <x:v>86701.63076923077</x:v>
      </x:c>
      <x:c r="P11" s="67" t="n">
        <x:f>IF('Dashboard'!$H$4="Taxable-salary equivalent",SUMIFS('Military Detail'!$O$6:$O$167,'Military Detail'!$A$6:$A$167,$A11,'Military Detail'!$C$6:$C$167,P$5),SUMIFS('Military Detail'!$M$6:$M$167,'Military Detail'!$A$6:$A$167,$A11,'Military Detail'!$C$6:$C$167,P$5))</x:f>
        <x:v>101374.73846153848</x:v>
      </x:c>
      <x:c r="Q11" s="67" t="n">
        <x:f>IF('Dashboard'!$H$4="Taxable-salary equivalent",SUMIFS('Military Detail'!$O$6:$O$167,'Military Detail'!$A$6:$A$167,$A11,'Military Detail'!$C$6:$C$167,Q$5),SUMIFS('Military Detail'!$M$6:$M$167,'Military Detail'!$A$6:$A$167,$A11,'Military Detail'!$C$6:$C$167,Q$5))</x:f>
        <x:v>120536.58461538464</x:v>
      </x:c>
      <x:c r="R11" s="67" t="n">
        <x:f>'Private Wage'!$E11</x:f>
        <x:v>37258</x:v>
      </x:c>
    </x:row>
    <x:row r="12">
      <x:c r="A12" s="45" t="n">
        <x:v>2007</x:v>
      </x:c>
      <x:c r="B12" s="45" t="str">
        <x:v>Actual</x:v>
      </x:c>
      <x:c r="C12" s="67" t="n">
        <x:f>IF('Dashboard'!$E$4="New-hire after FERS",'GS Source'!E12,'GS Source'!D12)</x:f>
        <x:v>35465.984</x:v>
      </x:c>
      <x:c r="D12" s="67" t="n">
        <x:f>IF('Dashboard'!$E$4="New-hire after FERS",'GS Source'!G12,'GS Source'!F12)</x:f>
        <x:v>43381.152</x:v>
      </x:c>
      <x:c r="E12" s="67" t="n">
        <x:f>IF('Dashboard'!$E$4="New-hire after FERS",'GS Source'!I12,'GS Source'!H12)</x:f>
        <x:v>52488.704</x:v>
      </x:c>
      <x:c r="F12" s="67" t="n">
        <x:f>IF('Dashboard'!$E$4="New-hire after FERS",'GS Source'!K12,'GS Source'!J12)</x:f>
        <x:v>62909.664</x:v>
      </x:c>
      <x:c r="G12" s="67" t="n">
        <x:f>IF('Dashboard'!$E$4="New-hire after FERS",'GS Source'!M12,'GS Source'!L12)</x:f>
        <x:v>74810.688</x:v>
      </x:c>
      <x:c r="H12" s="67" t="n">
        <x:f>IF('Dashboard'!$E$4="New-hire after FERS",'GS Source'!O12,'GS Source'!N12)</x:f>
        <x:v>97256.672</x:v>
      </x:c>
      <x:c r="I12" s="67" t="n">
        <x:f>IF('Dashboard'!$E$4="New-hire after FERS",'GS Source'!Q12,'GS Source'!P12)</x:f>
        <x:v>88402.08</x:v>
      </x:c>
      <x:c r="J12" s="67" t="n">
        <x:f>IF('Dashboard'!$E$4="New-hire after FERS",'GS Source'!S12,'GS Source'!R12)</x:f>
        <x:v>103987.39199999999</x:v>
      </x:c>
      <x:c r="K12" s="67" t="n">
        <x:f>IF('Dashboard'!$E$4="New-hire after FERS",'GS Source'!U12,'GS Source'!T12)</x:f>
        <x:v>135182.816</x:v>
      </x:c>
      <x:c r="L12" s="67" t="n">
        <x:f>IF('Dashboard'!$H$4="Taxable-salary equivalent",SUMIFS('Military Detail'!$O$6:$O$167,'Military Detail'!$A$6:$A$167,$A12,'Military Detail'!$C$6:$C$167,L$5),SUMIFS('Military Detail'!$M$6:$M$167,'Military Detail'!$A$6:$A$167,$A12,'Military Detail'!$C$6:$C$167,L$5))</x:f>
        <x:v>45089.13846153847</x:v>
      </x:c>
      <x:c r="M12" s="67" t="n">
        <x:f>IF('Dashboard'!$H$4="Taxable-salary equivalent",SUMIFS('Military Detail'!$O$6:$O$167,'Military Detail'!$A$6:$A$167,$A12,'Military Detail'!$C$6:$C$167,M$5),SUMIFS('Military Detail'!$M$6:$M$167,'Military Detail'!$A$6:$A$167,$A12,'Military Detail'!$C$6:$C$167,M$5))</x:f>
        <x:v>55749.32307692307</x:v>
      </x:c>
      <x:c r="N12" s="67" t="n">
        <x:f>IF('Dashboard'!$H$4="Taxable-salary equivalent",SUMIFS('Military Detail'!$O$6:$O$167,'Military Detail'!$A$6:$A$167,$A12,'Military Detail'!$C$6:$C$167,N$5),SUMIFS('Military Detail'!$M$6:$M$167,'Military Detail'!$A$6:$A$167,$A12,'Military Detail'!$C$6:$C$167,N$5))</x:f>
        <x:v>74558.46153846155</x:v>
      </x:c>
      <x:c r="O12" s="67" t="n">
        <x:f>IF('Dashboard'!$H$4="Taxable-salary equivalent",SUMIFS('Military Detail'!$O$6:$O$167,'Military Detail'!$A$6:$A$167,$A12,'Military Detail'!$C$6:$C$167,O$5),SUMIFS('Military Detail'!$M$6:$M$167,'Military Detail'!$A$6:$A$167,$A12,'Military Detail'!$C$6:$C$167,O$5))</x:f>
        <x:v>88537.29230769232</x:v>
      </x:c>
      <x:c r="P12" s="67" t="n">
        <x:f>IF('Dashboard'!$H$4="Taxable-salary equivalent",SUMIFS('Military Detail'!$O$6:$O$167,'Military Detail'!$A$6:$A$167,$A12,'Military Detail'!$C$6:$C$167,P$5),SUMIFS('Military Detail'!$M$6:$M$167,'Military Detail'!$A$6:$A$167,$A12,'Military Detail'!$C$6:$C$167,P$5))</x:f>
        <x:v>103974.33846153846</x:v>
      </x:c>
      <x:c r="Q12" s="67" t="n">
        <x:f>IF('Dashboard'!$H$4="Taxable-salary equivalent",SUMIFS('Military Detail'!$O$6:$O$167,'Military Detail'!$A$6:$A$167,$A12,'Military Detail'!$C$6:$C$167,Q$5),SUMIFS('Military Detail'!$M$6:$M$167,'Military Detail'!$A$6:$A$167,$A12,'Military Detail'!$C$6:$C$167,Q$5))</x:f>
        <x:v>123569.16923076924</x:v>
      </x:c>
      <x:c r="R12" s="67" t="n">
        <x:f>'Private Wage'!$E12</x:f>
        <x:v>38350</x:v>
      </x:c>
    </x:row>
    <x:row r="13">
      <x:c r="A13" s="45" t="n">
        <x:v>2008</x:v>
      </x:c>
      <x:c r="B13" s="45" t="str">
        <x:v>Actual</x:v>
      </x:c>
      <x:c r="C13" s="67" t="n">
        <x:f>IF('Dashboard'!$E$4="New-hire after FERS",'GS Source'!E13,'GS Source'!D13)</x:f>
        <x:v>36527.424</x:v>
      </x:c>
      <x:c r="D13" s="67" t="n">
        <x:f>IF('Dashboard'!$E$4="New-hire after FERS",'GS Source'!G13,'GS Source'!F13)</x:f>
        <x:v>44679.68</x:v>
      </x:c>
      <x:c r="E13" s="67" t="n">
        <x:f>IF('Dashboard'!$E$4="New-hire after FERS",'GS Source'!I13,'GS Source'!H13)</x:f>
        <x:v>54058.048</x:v>
      </x:c>
      <x:c r="F13" s="67" t="n">
        <x:f>IF('Dashboard'!$E$4="New-hire after FERS",'GS Source'!K13,'GS Source'!J13)</x:f>
        <x:v>64792.479999999996</x:v>
      </x:c>
      <x:c r="G13" s="67" t="n">
        <x:f>IF('Dashboard'!$E$4="New-hire after FERS",'GS Source'!M13,'GS Source'!L13)</x:f>
        <x:v>77048.64</x:v>
      </x:c>
      <x:c r="H13" s="67" t="n">
        <x:f>IF('Dashboard'!$E$4="New-hire after FERS",'GS Source'!O13,'GS Source'!N13)</x:f>
        <x:v>100168.192</x:v>
      </x:c>
      <x:c r="I13" s="67" t="n">
        <x:f>IF('Dashboard'!$E$4="New-hire after FERS",'GS Source'!Q13,'GS Source'!P13)</x:f>
        <x:v>91046.752</x:v>
      </x:c>
      <x:c r="J13" s="67" t="n">
        <x:f>IF('Dashboard'!$E$4="New-hire after FERS",'GS Source'!S13,'GS Source'!R13)</x:f>
        <x:v>107098.304</x:v>
      </x:c>
      <x:c r="K13" s="67" t="n">
        <x:f>IF('Dashboard'!$E$4="New-hire after FERS",'GS Source'!U13,'GS Source'!T13)</x:f>
        <x:v>139232.16</x:v>
      </x:c>
      <x:c r="L13" s="67" t="n">
        <x:f>IF('Dashboard'!$H$4="Taxable-salary equivalent",SUMIFS('Military Detail'!$O$6:$O$167,'Military Detail'!$A$6:$A$167,$A13,'Military Detail'!$C$6:$C$167,L$5),SUMIFS('Military Detail'!$M$6:$M$167,'Military Detail'!$A$6:$A$167,$A13,'Military Detail'!$C$6:$C$167,L$5))</x:f>
        <x:v>48079.784615384604</x:v>
      </x:c>
      <x:c r="M13" s="67" t="n">
        <x:f>IF('Dashboard'!$H$4="Taxable-salary equivalent",SUMIFS('Military Detail'!$O$6:$O$167,'Military Detail'!$A$6:$A$167,$A13,'Military Detail'!$C$6:$C$167,M$5),SUMIFS('Military Detail'!$M$6:$M$167,'Military Detail'!$A$6:$A$167,$A13,'Military Detail'!$C$6:$C$167,M$5))</x:f>
        <x:v>58771.661538461536</x:v>
      </x:c>
      <x:c r="N13" s="67" t="n">
        <x:f>IF('Dashboard'!$H$4="Taxable-salary equivalent",SUMIFS('Military Detail'!$O$6:$O$167,'Military Detail'!$A$6:$A$167,$A13,'Military Detail'!$C$6:$C$167,N$5),SUMIFS('Military Detail'!$M$6:$M$167,'Military Detail'!$A$6:$A$167,$A13,'Military Detail'!$C$6:$C$167,N$5))</x:f>
        <x:v>79060.89230769232</x:v>
      </x:c>
      <x:c r="O13" s="67" t="n">
        <x:f>IF('Dashboard'!$H$4="Taxable-salary equivalent",SUMIFS('Military Detail'!$O$6:$O$167,'Military Detail'!$A$6:$A$167,$A13,'Military Detail'!$C$6:$C$167,O$5),SUMIFS('Military Detail'!$M$6:$M$167,'Military Detail'!$A$6:$A$167,$A13,'Military Detail'!$C$6:$C$167,O$5))</x:f>
        <x:v>92568.61538461539</x:v>
      </x:c>
      <x:c r="P13" s="67" t="n">
        <x:f>IF('Dashboard'!$H$4="Taxable-salary equivalent",SUMIFS('Military Detail'!$O$6:$O$167,'Military Detail'!$A$6:$A$167,$A13,'Military Detail'!$C$6:$C$167,P$5),SUMIFS('Military Detail'!$M$6:$M$167,'Military Detail'!$A$6:$A$167,$A13,'Military Detail'!$C$6:$C$167,P$5))</x:f>
        <x:v>107868.0923076923</x:v>
      </x:c>
      <x:c r="Q13" s="67" t="n">
        <x:f>IF('Dashboard'!$H$4="Taxable-salary equivalent",SUMIFS('Military Detail'!$O$6:$O$167,'Military Detail'!$A$6:$A$167,$A13,'Military Detail'!$C$6:$C$167,Q$5),SUMIFS('Military Detail'!$M$6:$M$167,'Military Detail'!$A$6:$A$167,$A13,'Military Detail'!$C$6:$C$167,Q$5))</x:f>
        <x:v>128139.72307692307</x:v>
      </x:c>
      <x:c r="R13" s="67" t="n">
        <x:f>'Private Wage'!$E13</x:f>
        <x:v>39696.8</x:v>
      </x:c>
    </x:row>
    <x:row r="14">
      <x:c r="A14" s="45" t="n">
        <x:v>2009</x:v>
      </x:c>
      <x:c r="B14" s="45" t="str">
        <x:v>Actual</x:v>
      </x:c>
      <x:c r="C14" s="67" t="n">
        <x:f>IF('Dashboard'!$E$4="New-hire after FERS",'GS Source'!E14,'GS Source'!D14)</x:f>
        <x:v>37812.064</x:v>
      </x:c>
      <x:c r="D14" s="67" t="n">
        <x:f>IF('Dashboard'!$E$4="New-hire after FERS",'GS Source'!G14,'GS Source'!F14)</x:f>
        <x:v>46252</x:v>
      </x:c>
      <x:c r="E14" s="67" t="n">
        <x:f>IF('Dashboard'!$E$4="New-hire after FERS",'GS Source'!I14,'GS Source'!H14)</x:f>
        <x:v>55959.712</x:v>
      </x:c>
      <x:c r="F14" s="67" t="n">
        <x:f>IF('Dashboard'!$E$4="New-hire after FERS",'GS Source'!K14,'GS Source'!J14)</x:f>
        <x:v>67072.096</x:v>
      </x:c>
      <x:c r="G14" s="67" t="n">
        <x:f>IF('Dashboard'!$E$4="New-hire after FERS",'GS Source'!M14,'GS Source'!L14)</x:f>
        <x:v>79758.784</x:v>
      </x:c>
      <x:c r="H14" s="67" t="n">
        <x:f>IF('Dashboard'!$E$4="New-hire after FERS",'GS Source'!O14,'GS Source'!N14)</x:f>
        <x:v>103688.8</x:v>
      </x:c>
      <x:c r="I14" s="67" t="n">
        <x:f>IF('Dashboard'!$E$4="New-hire after FERS",'GS Source'!Q14,'GS Source'!P14)</x:f>
        <x:v>94249.92</x:v>
      </x:c>
      <x:c r="J14" s="67" t="n">
        <x:f>IF('Dashboard'!$E$4="New-hire after FERS",'GS Source'!S14,'GS Source'!R14)</x:f>
        <x:v>110865.92</x:v>
      </x:c>
      <x:c r="K14" s="67" t="n">
        <x:f>IF('Dashboard'!$E$4="New-hire after FERS",'GS Source'!U14,'GS Source'!T14)</x:f>
        <x:v>144127.68</x:v>
      </x:c>
      <x:c r="L14" s="67" t="n">
        <x:f>IF('Dashboard'!$H$4="Taxable-salary equivalent",SUMIFS('Military Detail'!$O$6:$O$167,'Military Detail'!$A$6:$A$167,$A14,'Military Detail'!$C$6:$C$167,L$5),SUMIFS('Military Detail'!$M$6:$M$167,'Military Detail'!$A$6:$A$167,$A14,'Military Detail'!$C$6:$C$167,L$5))</x:f>
        <x:v>50910.36923076924</x:v>
      </x:c>
      <x:c r="M14" s="67" t="n">
        <x:f>IF('Dashboard'!$H$4="Taxable-salary equivalent",SUMIFS('Military Detail'!$O$6:$O$167,'Military Detail'!$A$6:$A$167,$A14,'Military Detail'!$C$6:$C$167,M$5),SUMIFS('Military Detail'!$M$6:$M$167,'Military Detail'!$A$6:$A$167,$A14,'Military Detail'!$C$6:$C$167,M$5))</x:f>
        <x:v>63761.26153846154</x:v>
      </x:c>
      <x:c r="N14" s="67" t="n">
        <x:f>IF('Dashboard'!$H$4="Taxable-salary equivalent",SUMIFS('Military Detail'!$O$6:$O$167,'Military Detail'!$A$6:$A$167,$A14,'Military Detail'!$C$6:$C$167,N$5),SUMIFS('Military Detail'!$M$6:$M$167,'Military Detail'!$A$6:$A$167,$A14,'Military Detail'!$C$6:$C$167,N$5))</x:f>
        <x:v>84078.52307692308</x:v>
      </x:c>
      <x:c r="O14" s="67" t="n">
        <x:f>IF('Dashboard'!$H$4="Taxable-salary equivalent",SUMIFS('Military Detail'!$O$6:$O$167,'Military Detail'!$A$6:$A$167,$A14,'Military Detail'!$C$6:$C$167,O$5),SUMIFS('Military Detail'!$M$6:$M$167,'Military Detail'!$A$6:$A$167,$A14,'Military Detail'!$C$6:$C$167,O$5))</x:f>
        <x:v>98964.55384615384</x:v>
      </x:c>
      <x:c r="P14" s="67" t="n">
        <x:f>IF('Dashboard'!$H$4="Taxable-salary equivalent",SUMIFS('Military Detail'!$O$6:$O$167,'Military Detail'!$A$6:$A$167,$A14,'Military Detail'!$C$6:$C$167,P$5),SUMIFS('Military Detail'!$M$6:$M$167,'Military Detail'!$A$6:$A$167,$A14,'Military Detail'!$C$6:$C$167,P$5))</x:f>
        <x:v>115478.98461538462</x:v>
      </x:c>
      <x:c r="Q14" s="67" t="n">
        <x:f>IF('Dashboard'!$H$4="Taxable-salary equivalent",SUMIFS('Military Detail'!$O$6:$O$167,'Military Detail'!$A$6:$A$167,$A14,'Military Detail'!$C$6:$C$167,Q$5),SUMIFS('Military Detail'!$M$6:$M$167,'Military Detail'!$A$6:$A$167,$A14,'Military Detail'!$C$6:$C$167,Q$5))</x:f>
        <x:v>136566.1846153846</x:v>
      </x:c>
      <x:c r="R14" s="67" t="n">
        <x:f>'Private Wage'!$E14</x:f>
        <x:v>40404</x:v>
      </x:c>
    </x:row>
    <x:row r="15">
      <x:c r="A15" s="45" t="n">
        <x:v>2010</x:v>
      </x:c>
      <x:c r="B15" s="45" t="str">
        <x:v>Actual</x:v>
      </x:c>
      <x:c r="C15" s="67" t="n">
        <x:f>IF('Dashboard'!$E$4="New-hire after FERS",'GS Source'!E15,'GS Source'!D15)</x:f>
        <x:v>38479.68</x:v>
      </x:c>
      <x:c r="D15" s="67" t="n">
        <x:f>IF('Dashboard'!$E$4="New-hire after FERS",'GS Source'!G15,'GS Source'!F15)</x:f>
        <x:v>47068.416</x:v>
      </x:c>
      <x:c r="E15" s="67" t="n">
        <x:f>IF('Dashboard'!$E$4="New-hire after FERS",'GS Source'!I15,'GS Source'!H15)</x:f>
        <x:v>56948.736</x:v>
      </x:c>
      <x:c r="F15" s="67" t="n">
        <x:f>IF('Dashboard'!$E$4="New-hire after FERS",'GS Source'!K15,'GS Source'!J15)</x:f>
        <x:v>68258.528</x:v>
      </x:c>
      <x:c r="G15" s="67" t="n">
        <x:f>IF('Dashboard'!$E$4="New-hire after FERS",'GS Source'!M15,'GS Source'!L15)</x:f>
        <x:v>81168.416</x:v>
      </x:c>
      <x:c r="H15" s="67" t="n">
        <x:f>IF('Dashboard'!$E$4="New-hire after FERS",'GS Source'!O15,'GS Source'!N15)</x:f>
        <x:v>105518.048</x:v>
      </x:c>
      <x:c r="I15" s="67" t="n">
        <x:f>IF('Dashboard'!$E$4="New-hire after FERS",'GS Source'!Q15,'GS Source'!P15)</x:f>
        <x:v>95916.48</x:v>
      </x:c>
      <x:c r="J15" s="67" t="n">
        <x:f>IF('Dashboard'!$E$4="New-hire after FERS",'GS Source'!S15,'GS Source'!R15)</x:f>
        <x:v>112825.12</x:v>
      </x:c>
      <x:c r="K15" s="67" t="n">
        <x:f>IF('Dashboard'!$E$4="New-hire after FERS",'GS Source'!U15,'GS Source'!T15)</x:f>
        <x:v>146674.144</x:v>
      </x:c>
      <x:c r="L15" s="67" t="n">
        <x:f>IF('Dashboard'!$H$4="Taxable-salary equivalent",SUMIFS('Military Detail'!$O$6:$O$167,'Military Detail'!$A$6:$A$167,$A15,'Military Detail'!$C$6:$C$167,L$5),SUMIFS('Military Detail'!$M$6:$M$167,'Military Detail'!$A$6:$A$167,$A15,'Military Detail'!$C$6:$C$167,L$5))</x:f>
        <x:v>51609.35384615385</x:v>
      </x:c>
      <x:c r="M15" s="67" t="n">
        <x:f>IF('Dashboard'!$H$4="Taxable-salary equivalent",SUMIFS('Military Detail'!$O$6:$O$167,'Military Detail'!$A$6:$A$167,$A15,'Military Detail'!$C$6:$C$167,M$5),SUMIFS('Military Detail'!$M$6:$M$167,'Military Detail'!$A$6:$A$167,$A15,'Military Detail'!$C$6:$C$167,M$5))</x:f>
        <x:v>64337.1076923077</x:v>
      </x:c>
      <x:c r="N15" s="67" t="n">
        <x:f>IF('Dashboard'!$H$4="Taxable-salary equivalent",SUMIFS('Military Detail'!$O$6:$O$167,'Military Detail'!$A$6:$A$167,$A15,'Military Detail'!$C$6:$C$167,N$5),SUMIFS('Military Detail'!$M$6:$M$167,'Military Detail'!$A$6:$A$167,$A15,'Military Detail'!$C$6:$C$167,N$5))</x:f>
        <x:v>84267.35384615386</x:v>
      </x:c>
      <x:c r="O15" s="67" t="n">
        <x:f>IF('Dashboard'!$H$4="Taxable-salary equivalent",SUMIFS('Military Detail'!$O$6:$O$167,'Military Detail'!$A$6:$A$167,$A15,'Military Detail'!$C$6:$C$167,O$5),SUMIFS('Military Detail'!$M$6:$M$167,'Military Detail'!$A$6:$A$167,$A15,'Military Detail'!$C$6:$C$167,O$5))</x:f>
        <x:v>99884.89230769231</x:v>
      </x:c>
      <x:c r="P15" s="67" t="n">
        <x:f>IF('Dashboard'!$H$4="Taxable-salary equivalent",SUMIFS('Military Detail'!$O$6:$O$167,'Military Detail'!$A$6:$A$167,$A15,'Military Detail'!$C$6:$C$167,P$5),SUMIFS('Military Detail'!$M$6:$M$167,'Military Detail'!$A$6:$A$167,$A15,'Military Detail'!$C$6:$C$167,P$5))</x:f>
        <x:v>117114.12307692309</x:v>
      </x:c>
      <x:c r="Q15" s="67" t="n">
        <x:f>IF('Dashboard'!$H$4="Taxable-salary equivalent",SUMIFS('Military Detail'!$O$6:$O$167,'Military Detail'!$A$6:$A$167,$A15,'Military Detail'!$C$6:$C$167,Q$5),SUMIFS('Military Detail'!$M$6:$M$167,'Military Detail'!$A$6:$A$167,$A15,'Military Detail'!$C$6:$C$167,Q$5))</x:f>
        <x:v>138941.2923076923</x:v>
      </x:c>
      <x:c r="R15" s="67" t="n">
        <x:f>'Private Wage'!$E15</x:f>
        <x:v>40783.600000000006</x:v>
      </x:c>
    </x:row>
    <x:row r="16">
      <x:c r="A16" s="45" t="n">
        <x:v>2011</x:v>
      </x:c>
      <x:c r="B16" s="45" t="str">
        <x:v>Actual</x:v>
      </x:c>
      <x:c r="C16" s="67" t="n">
        <x:f>IF('Dashboard'!$E$4="New-hire after FERS",'GS Source'!E16,'GS Source'!D16)</x:f>
        <x:v>38479.68</x:v>
      </x:c>
      <x:c r="D16" s="67" t="n">
        <x:f>IF('Dashboard'!$E$4="New-hire after FERS",'GS Source'!G16,'GS Source'!F16)</x:f>
        <x:v>47068.416</x:v>
      </x:c>
      <x:c r="E16" s="67" t="n">
        <x:f>IF('Dashboard'!$E$4="New-hire after FERS",'GS Source'!I16,'GS Source'!H16)</x:f>
        <x:v>56948.736</x:v>
      </x:c>
      <x:c r="F16" s="67" t="n">
        <x:f>IF('Dashboard'!$E$4="New-hire after FERS",'GS Source'!K16,'GS Source'!J16)</x:f>
        <x:v>68258.528</x:v>
      </x:c>
      <x:c r="G16" s="67" t="n">
        <x:f>IF('Dashboard'!$E$4="New-hire after FERS",'GS Source'!M16,'GS Source'!L16)</x:f>
        <x:v>81168.416</x:v>
      </x:c>
      <x:c r="H16" s="67" t="n">
        <x:f>IF('Dashboard'!$E$4="New-hire after FERS",'GS Source'!O16,'GS Source'!N16)</x:f>
        <x:v>105518.048</x:v>
      </x:c>
      <x:c r="I16" s="67" t="n">
        <x:f>IF('Dashboard'!$E$4="New-hire after FERS",'GS Source'!Q16,'GS Source'!P16)</x:f>
        <x:v>95916.48</x:v>
      </x:c>
      <x:c r="J16" s="67" t="n">
        <x:f>IF('Dashboard'!$E$4="New-hire after FERS",'GS Source'!S16,'GS Source'!R16)</x:f>
        <x:v>112825.12</x:v>
      </x:c>
      <x:c r="K16" s="67" t="n">
        <x:f>IF('Dashboard'!$E$4="New-hire after FERS",'GS Source'!U16,'GS Source'!T16)</x:f>
        <x:v>146674.144</x:v>
      </x:c>
      <x:c r="L16" s="67" t="n">
        <x:f>IF('Dashboard'!$H$4="Taxable-salary equivalent",SUMIFS('Military Detail'!$O$6:$O$167,'Military Detail'!$A$6:$A$167,$A16,'Military Detail'!$C$6:$C$167,L$5),SUMIFS('Military Detail'!$M$6:$M$167,'Military Detail'!$A$6:$A$167,$A16,'Military Detail'!$C$6:$C$167,L$5))</x:f>
        <x:v>52590.153846153844</x:v>
      </x:c>
      <x:c r="M16" s="67" t="n">
        <x:f>IF('Dashboard'!$H$4="Taxable-salary equivalent",SUMIFS('Military Detail'!$O$6:$O$167,'Military Detail'!$A$6:$A$167,$A16,'Military Detail'!$C$6:$C$167,M$5),SUMIFS('Military Detail'!$M$6:$M$167,'Military Detail'!$A$6:$A$167,$A16,'Military Detail'!$C$6:$C$167,M$5))</x:f>
        <x:v>64954.215384615396</x:v>
      </x:c>
      <x:c r="N16" s="67" t="n">
        <x:f>IF('Dashboard'!$H$4="Taxable-salary equivalent",SUMIFS('Military Detail'!$O$6:$O$167,'Military Detail'!$A$6:$A$167,$A16,'Military Detail'!$C$6:$C$167,N$5),SUMIFS('Military Detail'!$M$6:$M$167,'Military Detail'!$A$6:$A$167,$A16,'Military Detail'!$C$6:$C$167,N$5))</x:f>
        <x:v>86893.9076923077</x:v>
      </x:c>
      <x:c r="O16" s="67" t="n">
        <x:f>IF('Dashboard'!$H$4="Taxable-salary equivalent",SUMIFS('Military Detail'!$O$6:$O$167,'Military Detail'!$A$6:$A$167,$A16,'Military Detail'!$C$6:$C$167,O$5),SUMIFS('Military Detail'!$M$6:$M$167,'Military Detail'!$A$6:$A$167,$A16,'Military Detail'!$C$6:$C$167,O$5))</x:f>
        <x:v>102283.26153846153</x:v>
      </x:c>
      <x:c r="P16" s="67" t="n">
        <x:f>IF('Dashboard'!$H$4="Taxable-salary equivalent",SUMIFS('Military Detail'!$O$6:$O$167,'Military Detail'!$A$6:$A$167,$A16,'Military Detail'!$C$6:$C$167,P$5),SUMIFS('Military Detail'!$M$6:$M$167,'Military Detail'!$A$6:$A$167,$A16,'Military Detail'!$C$6:$C$167,P$5))</x:f>
        <x:v>119455.16923076923</x:v>
      </x:c>
      <x:c r="Q16" s="67" t="n">
        <x:f>IF('Dashboard'!$H$4="Taxable-salary equivalent",SUMIFS('Military Detail'!$O$6:$O$167,'Military Detail'!$A$6:$A$167,$A16,'Military Detail'!$C$6:$C$167,Q$5),SUMIFS('Military Detail'!$M$6:$M$167,'Military Detail'!$A$6:$A$167,$A16,'Military Detail'!$C$6:$C$167,Q$5))</x:f>
        <x:v>141584.73846153845</x:v>
      </x:c>
      <x:c r="R16" s="67" t="n">
        <x:f>'Private Wage'!$E16</x:f>
        <x:v>41449.2</x:v>
      </x:c>
    </x:row>
    <x:row r="17">
      <x:c r="A17" s="45" t="n">
        <x:v>2012</x:v>
      </x:c>
      <x:c r="B17" s="45" t="str">
        <x:v>Actual</x:v>
      </x:c>
      <x:c r="C17" s="67" t="n">
        <x:f>IF('Dashboard'!$E$4="New-hire after FERS",'GS Source'!E17,'GS Source'!D17)</x:f>
        <x:v>38479.68</x:v>
      </x:c>
      <x:c r="D17" s="67" t="n">
        <x:f>IF('Dashboard'!$E$4="New-hire after FERS",'GS Source'!G17,'GS Source'!F17)</x:f>
        <x:v>47068.416</x:v>
      </x:c>
      <x:c r="E17" s="67" t="n">
        <x:f>IF('Dashboard'!$E$4="New-hire after FERS",'GS Source'!I17,'GS Source'!H17)</x:f>
        <x:v>56948.736</x:v>
      </x:c>
      <x:c r="F17" s="67" t="n">
        <x:f>IF('Dashboard'!$E$4="New-hire after FERS",'GS Source'!K17,'GS Source'!J17)</x:f>
        <x:v>68258.528</x:v>
      </x:c>
      <x:c r="G17" s="67" t="n">
        <x:f>IF('Dashboard'!$E$4="New-hire after FERS",'GS Source'!M17,'GS Source'!L17)</x:f>
        <x:v>81168.416</x:v>
      </x:c>
      <x:c r="H17" s="67" t="n">
        <x:f>IF('Dashboard'!$E$4="New-hire after FERS",'GS Source'!O17,'GS Source'!N17)</x:f>
        <x:v>105518.048</x:v>
      </x:c>
      <x:c r="I17" s="67" t="n">
        <x:f>IF('Dashboard'!$E$4="New-hire after FERS",'GS Source'!Q17,'GS Source'!P17)</x:f>
        <x:v>95916.48</x:v>
      </x:c>
      <x:c r="J17" s="67" t="n">
        <x:f>IF('Dashboard'!$E$4="New-hire after FERS",'GS Source'!S17,'GS Source'!R17)</x:f>
        <x:v>112825.12</x:v>
      </x:c>
      <x:c r="K17" s="67" t="n">
        <x:f>IF('Dashboard'!$E$4="New-hire after FERS",'GS Source'!U17,'GS Source'!T17)</x:f>
        <x:v>146674.144</x:v>
      </x:c>
      <x:c r="L17" s="67" t="n">
        <x:f>IF('Dashboard'!$H$4="Taxable-salary equivalent",SUMIFS('Military Detail'!$O$6:$O$167,'Military Detail'!$A$6:$A$167,$A17,'Military Detail'!$C$6:$C$167,L$5),SUMIFS('Military Detail'!$M$6:$M$167,'Military Detail'!$A$6:$A$167,$A17,'Military Detail'!$C$6:$C$167,L$5))</x:f>
        <x:v>53832.49230769231</x:v>
      </x:c>
      <x:c r="M17" s="67" t="n">
        <x:f>IF('Dashboard'!$H$4="Taxable-salary equivalent",SUMIFS('Military Detail'!$O$6:$O$167,'Military Detail'!$A$6:$A$167,$A17,'Military Detail'!$C$6:$C$167,M$5),SUMIFS('Military Detail'!$M$6:$M$167,'Military Detail'!$A$6:$A$167,$A17,'Military Detail'!$C$6:$C$167,M$5))</x:f>
        <x:v>65904.21538461538</x:v>
      </x:c>
      <x:c r="N17" s="67" t="n">
        <x:f>IF('Dashboard'!$H$4="Taxable-salary equivalent",SUMIFS('Military Detail'!$O$6:$O$167,'Military Detail'!$A$6:$A$167,$A17,'Military Detail'!$C$6:$C$167,N$5),SUMIFS('Military Detail'!$M$6:$M$167,'Military Detail'!$A$6:$A$167,$A17,'Military Detail'!$C$6:$C$167,N$5))</x:f>
        <x:v>89062.18461538461</x:v>
      </x:c>
      <x:c r="O17" s="67" t="n">
        <x:f>IF('Dashboard'!$H$4="Taxable-salary equivalent",SUMIFS('Military Detail'!$O$6:$O$167,'Military Detail'!$A$6:$A$167,$A17,'Military Detail'!$C$6:$C$167,O$5),SUMIFS('Military Detail'!$M$6:$M$167,'Military Detail'!$A$6:$A$167,$A17,'Military Detail'!$C$6:$C$167,O$5))</x:f>
        <x:v>104482.92307692308</x:v>
      </x:c>
      <x:c r="P17" s="67" t="n">
        <x:f>IF('Dashboard'!$H$4="Taxable-salary equivalent",SUMIFS('Military Detail'!$O$6:$O$167,'Military Detail'!$A$6:$A$167,$A17,'Military Detail'!$C$6:$C$167,P$5),SUMIFS('Military Detail'!$M$6:$M$167,'Military Detail'!$A$6:$A$167,$A17,'Military Detail'!$C$6:$C$167,P$5))</x:f>
        <x:v>121771.96923076925</x:v>
      </x:c>
      <x:c r="Q17" s="67" t="n">
        <x:f>IF('Dashboard'!$H$4="Taxable-salary equivalent",SUMIFS('Military Detail'!$O$6:$O$167,'Military Detail'!$A$6:$A$167,$A17,'Military Detail'!$C$6:$C$167,Q$5),SUMIFS('Military Detail'!$M$6:$M$167,'Military Detail'!$A$6:$A$167,$A17,'Military Detail'!$C$6:$C$167,Q$5))</x:f>
        <x:v>144250.73846153845</x:v>
      </x:c>
      <x:c r="R17" s="67" t="n">
        <x:f>'Private Wage'!$E17</x:f>
        <x:v>42223.99999999999</x:v>
      </x:c>
    </x:row>
    <x:row r="18">
      <x:c r="A18" s="45" t="n">
        <x:v>2013</x:v>
      </x:c>
      <x:c r="B18" s="45" t="str">
        <x:v>Actual</x:v>
      </x:c>
      <x:c r="C18" s="67" t="n">
        <x:f>IF('Dashboard'!$E$4="New-hire after FERS",'GS Source'!E18,'GS Source'!D18)</x:f>
        <x:v>37587.51</x:v>
      </x:c>
      <x:c r="D18" s="67" t="n">
        <x:f>IF('Dashboard'!$E$4="New-hire after FERS",'GS Source'!G18,'GS Source'!F18)</x:f>
        <x:v>45977.112</x:v>
      </x:c>
      <x:c r="E18" s="67" t="n">
        <x:f>IF('Dashboard'!$E$4="New-hire after FERS",'GS Source'!I18,'GS Source'!H18)</x:f>
        <x:v>55628.352</x:v>
      </x:c>
      <x:c r="F18" s="67" t="n">
        <x:f>IF('Dashboard'!$E$4="New-hire after FERS",'GS Source'!K18,'GS Source'!J18)</x:f>
        <x:v>66675.921</x:v>
      </x:c>
      <x:c r="G18" s="67" t="n">
        <x:f>IF('Dashboard'!$E$4="New-hire after FERS",'GS Source'!M18,'GS Source'!L18)</x:f>
        <x:v>79286.487</x:v>
      </x:c>
      <x:c r="H18" s="67" t="n">
        <x:f>IF('Dashboard'!$E$4="New-hire after FERS",'GS Source'!O18,'GS Source'!N18)</x:f>
        <x:v>103071.561</x:v>
      </x:c>
      <x:c r="I18" s="67" t="n">
        <x:f>IF('Dashboard'!$E$4="New-hire after FERS",'GS Source'!Q18,'GS Source'!P18)</x:f>
        <x:v>93692.61</x:v>
      </x:c>
      <x:c r="J18" s="67" t="n">
        <x:f>IF('Dashboard'!$E$4="New-hire after FERS",'GS Source'!S18,'GS Source'!R18)</x:f>
        <x:v>110209.215</x:v>
      </x:c>
      <x:c r="K18" s="67" t="n">
        <x:f>IF('Dashboard'!$E$4="New-hire after FERS",'GS Source'!U18,'GS Source'!T18)</x:f>
        <x:v>143273.433</x:v>
      </x:c>
      <x:c r="L18" s="67" t="n">
        <x:f>IF('Dashboard'!$H$4="Taxable-salary equivalent",SUMIFS('Military Detail'!$O$6:$O$167,'Military Detail'!$A$6:$A$167,$A18,'Military Detail'!$C$6:$C$167,L$5),SUMIFS('Military Detail'!$M$6:$M$167,'Military Detail'!$A$6:$A$167,$A18,'Military Detail'!$C$6:$C$167,L$5))</x:f>
        <x:v>55049.10769230769</x:v>
      </x:c>
      <x:c r="M18" s="67" t="n">
        <x:f>IF('Dashboard'!$H$4="Taxable-salary equivalent",SUMIFS('Military Detail'!$O$6:$O$167,'Military Detail'!$A$6:$A$167,$A18,'Military Detail'!$C$6:$C$167,M$5),SUMIFS('Military Detail'!$M$6:$M$167,'Military Detail'!$A$6:$A$167,$A18,'Military Detail'!$C$6:$C$167,M$5))</x:f>
        <x:v>69239.29230769232</x:v>
      </x:c>
      <x:c r="N18" s="67" t="n">
        <x:f>IF('Dashboard'!$H$4="Taxable-salary equivalent",SUMIFS('Military Detail'!$O$6:$O$167,'Military Detail'!$A$6:$A$167,$A18,'Military Detail'!$C$6:$C$167,N$5),SUMIFS('Military Detail'!$M$6:$M$167,'Military Detail'!$A$6:$A$167,$A18,'Military Detail'!$C$6:$C$167,N$5))</x:f>
        <x:v>89948.43076923078</x:v>
      </x:c>
      <x:c r="O18" s="67" t="n">
        <x:f>IF('Dashboard'!$H$4="Taxable-salary equivalent",SUMIFS('Military Detail'!$O$6:$O$167,'Military Detail'!$A$6:$A$167,$A18,'Military Detail'!$C$6:$C$167,O$5),SUMIFS('Military Detail'!$M$6:$M$167,'Military Detail'!$A$6:$A$167,$A18,'Military Detail'!$C$6:$C$167,O$5))</x:f>
        <x:v>105557.01538461537</x:v>
      </x:c>
      <x:c r="P18" s="67" t="n">
        <x:f>IF('Dashboard'!$H$4="Taxable-salary equivalent",SUMIFS('Military Detail'!$O$6:$O$167,'Military Detail'!$A$6:$A$167,$A18,'Military Detail'!$C$6:$C$167,P$5),SUMIFS('Military Detail'!$M$6:$M$167,'Military Detail'!$A$6:$A$167,$A18,'Military Detail'!$C$6:$C$167,P$5))</x:f>
        <x:v>123119.66153846154</x:v>
      </x:c>
      <x:c r="Q18" s="67" t="n">
        <x:f>IF('Dashboard'!$H$4="Taxable-salary equivalent",SUMIFS('Military Detail'!$O$6:$O$167,'Military Detail'!$A$6:$A$167,$A18,'Military Detail'!$C$6:$C$167,Q$5),SUMIFS('Military Detail'!$M$6:$M$167,'Military Detail'!$A$6:$A$167,$A18,'Military Detail'!$C$6:$C$167,Q$5))</x:f>
        <x:v>146022.58461538464</x:v>
      </x:c>
      <x:c r="R18" s="67" t="n">
        <x:f>'Private Wage'!$E18</x:f>
        <x:v>42770</x:v>
      </x:c>
    </x:row>
    <x:row r="19">
      <x:c r="A19" s="45" t="n">
        <x:v>2014</x:v>
      </x:c>
      <x:c r="B19" s="45" t="str">
        <x:v>Actual</x:v>
      </x:c>
      <x:c r="C19" s="67" t="n">
        <x:f>IF('Dashboard'!$E$4="New-hire after FERS",'GS Source'!E19,'GS Source'!D19)</x:f>
        <x:v>37455.123999999996</x:v>
      </x:c>
      <x:c r="D19" s="67" t="n">
        <x:f>IF('Dashboard'!$E$4="New-hire after FERS",'GS Source'!G19,'GS Source'!F19)</x:f>
        <x:v>45814.388</x:v>
      </x:c>
      <x:c r="E19" s="67" t="n">
        <x:f>IF('Dashboard'!$E$4="New-hire after FERS",'GS Source'!I19,'GS Source'!H19)</x:f>
        <x:v>55430.792</x:v>
      </x:c>
      <x:c r="F19" s="67" t="n">
        <x:f>IF('Dashboard'!$E$4="New-hire after FERS",'GS Source'!K19,'GS Source'!J19)</x:f>
        <x:v>66439.132</x:v>
      </x:c>
      <x:c r="G19" s="67" t="n">
        <x:f>IF('Dashboard'!$E$4="New-hire after FERS",'GS Source'!M19,'GS Source'!L19)</x:f>
        <x:v>79005.752</x:v>
      </x:c>
      <x:c r="H19" s="67" t="n">
        <x:f>IF('Dashboard'!$E$4="New-hire after FERS",'GS Source'!O19,'GS Source'!N19)</x:f>
        <x:v>102706.904</x:v>
      </x:c>
      <x:c r="I19" s="67" t="n">
        <x:f>IF('Dashboard'!$E$4="New-hire after FERS",'GS Source'!Q19,'GS Source'!P19)</x:f>
        <x:v>93360.09199999999</x:v>
      </x:c>
      <x:c r="J19" s="67" t="n">
        <x:f>IF('Dashboard'!$E$4="New-hire after FERS",'GS Source'!S19,'GS Source'!R19)</x:f>
        <x:v>109817.632</x:v>
      </x:c>
      <x:c r="K19" s="67" t="n">
        <x:f>IF('Dashboard'!$E$4="New-hire after FERS",'GS Source'!U19,'GS Source'!T19)</x:f>
        <x:v>142762.348</x:v>
      </x:c>
      <x:c r="L19" s="67" t="n">
        <x:f>IF('Dashboard'!$H$4="Taxable-salary equivalent",SUMIFS('Military Detail'!$O$6:$O$167,'Military Detail'!$A$6:$A$167,$A19,'Military Detail'!$C$6:$C$167,L$5),SUMIFS('Military Detail'!$M$6:$M$167,'Military Detail'!$A$6:$A$167,$A19,'Military Detail'!$C$6:$C$167,L$5))</x:f>
        <x:v>55958.399999999994</x:v>
      </x:c>
      <x:c r="M19" s="67" t="n">
        <x:f>IF('Dashboard'!$H$4="Taxable-salary equivalent",SUMIFS('Military Detail'!$O$6:$O$167,'Military Detail'!$A$6:$A$167,$A19,'Military Detail'!$C$6:$C$167,M$5),SUMIFS('Military Detail'!$M$6:$M$167,'Military Detail'!$A$6:$A$167,$A19,'Military Detail'!$C$6:$C$167,M$5))</x:f>
        <x:v>68918.12307692308</x:v>
      </x:c>
      <x:c r="N19" s="67" t="n">
        <x:f>IF('Dashboard'!$H$4="Taxable-salary equivalent",SUMIFS('Military Detail'!$O$6:$O$167,'Military Detail'!$A$6:$A$167,$A19,'Military Detail'!$C$6:$C$167,N$5),SUMIFS('Military Detail'!$M$6:$M$167,'Military Detail'!$A$6:$A$167,$A19,'Military Detail'!$C$6:$C$167,N$5))</x:f>
        <x:v>91433.44615384616</x:v>
      </x:c>
      <x:c r="O19" s="67" t="n">
        <x:f>IF('Dashboard'!$H$4="Taxable-salary equivalent",SUMIFS('Military Detail'!$O$6:$O$167,'Military Detail'!$A$6:$A$167,$A19,'Military Detail'!$C$6:$C$167,O$5),SUMIFS('Military Detail'!$M$6:$M$167,'Military Detail'!$A$6:$A$167,$A19,'Military Detail'!$C$6:$C$167,O$5))</x:f>
        <x:v>106397.8153846154</x:v>
      </x:c>
      <x:c r="P19" s="67" t="n">
        <x:f>IF('Dashboard'!$H$4="Taxable-salary equivalent",SUMIFS('Military Detail'!$O$6:$O$167,'Military Detail'!$A$6:$A$167,$A19,'Military Detail'!$C$6:$C$167,P$5),SUMIFS('Military Detail'!$M$6:$M$167,'Military Detail'!$A$6:$A$167,$A19,'Military Detail'!$C$6:$C$167,P$5))</x:f>
        <x:v>123568.61538461539</x:v>
      </x:c>
      <x:c r="Q19" s="67" t="n">
        <x:f>IF('Dashboard'!$H$4="Taxable-salary equivalent",SUMIFS('Military Detail'!$O$6:$O$167,'Military Detail'!$A$6:$A$167,$A19,'Military Detail'!$C$6:$C$167,Q$5),SUMIFS('Military Detail'!$M$6:$M$167,'Military Detail'!$A$6:$A$167,$A19,'Military Detail'!$C$6:$C$167,Q$5))</x:f>
        <x:v>146652.1846153846</x:v>
      </x:c>
      <x:c r="R19" s="67" t="n">
        <x:f>'Private Wage'!$E19</x:f>
        <x:v>44137.6</x:v>
      </x:c>
    </x:row>
    <x:row r="20">
      <x:c r="A20" s="45" t="n">
        <x:v>2015</x:v>
      </x:c>
      <x:c r="B20" s="45" t="str">
        <x:v>Actual</x:v>
      </x:c>
      <x:c r="C20" s="67" t="n">
        <x:f>IF('Dashboard'!$E$4="New-hire after FERS",'GS Source'!E20,'GS Source'!D20)</x:f>
        <x:v>37828.92</x:v>
      </x:c>
      <x:c r="D20" s="67" t="n">
        <x:f>IF('Dashboard'!$E$4="New-hire after FERS",'GS Source'!G20,'GS Source'!F20)</x:f>
        <x:v>46273.268</x:v>
      </x:c>
      <x:c r="E20" s="67" t="n">
        <x:f>IF('Dashboard'!$E$4="New-hire after FERS",'GS Source'!I20,'GS Source'!H20)</x:f>
        <x:v>55985.272</x:v>
      </x:c>
      <x:c r="F20" s="67" t="n">
        <x:f>IF('Dashboard'!$E$4="New-hire after FERS",'GS Source'!K20,'GS Source'!J20)</x:f>
        <x:v>67103.552</x:v>
      </x:c>
      <x:c r="G20" s="67" t="n">
        <x:f>IF('Dashboard'!$E$4="New-hire after FERS",'GS Source'!M20,'GS Source'!L20)</x:f>
        <x:v>79795.408</x:v>
      </x:c>
      <x:c r="H20" s="67" t="n">
        <x:f>IF('Dashboard'!$E$4="New-hire after FERS",'GS Source'!O20,'GS Source'!N20)</x:f>
        <x:v>103732.692</x:v>
      </x:c>
      <x:c r="I20" s="67" t="n">
        <x:f>IF('Dashboard'!$E$4="New-hire after FERS",'GS Source'!Q20,'GS Source'!P20)</x:f>
        <x:v>94293.148</x:v>
      </x:c>
      <x:c r="J20" s="67" t="n">
        <x:f>IF('Dashboard'!$E$4="New-hire after FERS",'GS Source'!S20,'GS Source'!R20)</x:f>
        <x:v>110916.076</x:v>
      </x:c>
      <x:c r="K20" s="67" t="n">
        <x:f>IF('Dashboard'!$E$4="New-hire after FERS",'GS Source'!U20,'GS Source'!T20)</x:f>
        <x:v>144193.47999999998</x:v>
      </x:c>
      <x:c r="L20" s="67" t="n">
        <x:f>IF('Dashboard'!$H$4="Taxable-salary equivalent",SUMIFS('Military Detail'!$O$6:$O$167,'Military Detail'!$A$6:$A$167,$A20,'Military Detail'!$C$6:$C$167,L$5),SUMIFS('Military Detail'!$M$6:$M$167,'Military Detail'!$A$6:$A$167,$A20,'Military Detail'!$C$6:$C$167,L$5))</x:f>
        <x:v>54709.75384615385</x:v>
      </x:c>
      <x:c r="M20" s="67" t="n">
        <x:f>IF('Dashboard'!$H$4="Taxable-salary equivalent",SUMIFS('Military Detail'!$O$6:$O$167,'Military Detail'!$A$6:$A$167,$A20,'Military Detail'!$C$6:$C$167,M$5),SUMIFS('Military Detail'!$M$6:$M$167,'Military Detail'!$A$6:$A$167,$A20,'Military Detail'!$C$6:$C$167,M$5))</x:f>
        <x:v>68285.16923076923</x:v>
      </x:c>
      <x:c r="N20" s="67" t="n">
        <x:f>IF('Dashboard'!$H$4="Taxable-salary equivalent",SUMIFS('Military Detail'!$O$6:$O$167,'Military Detail'!$A$6:$A$167,$A20,'Military Detail'!$C$6:$C$167,N$5),SUMIFS('Military Detail'!$M$6:$M$167,'Military Detail'!$A$6:$A$167,$A20,'Military Detail'!$C$6:$C$167,N$5))</x:f>
        <x:v>90533.35384615386</x:v>
      </x:c>
      <x:c r="O20" s="67" t="n">
        <x:f>IF('Dashboard'!$H$4="Taxable-salary equivalent",SUMIFS('Military Detail'!$O$6:$O$167,'Military Detail'!$A$6:$A$167,$A20,'Military Detail'!$C$6:$C$167,O$5),SUMIFS('Military Detail'!$M$6:$M$167,'Military Detail'!$A$6:$A$167,$A20,'Military Detail'!$C$6:$C$167,O$5))</x:f>
        <x:v>106238.12307692309</x:v>
      </x:c>
      <x:c r="P20" s="67" t="n">
        <x:f>IF('Dashboard'!$H$4="Taxable-salary equivalent",SUMIFS('Military Detail'!$O$6:$O$167,'Military Detail'!$A$6:$A$167,$A20,'Military Detail'!$C$6:$C$167,P$5),SUMIFS('Military Detail'!$M$6:$M$167,'Military Detail'!$A$6:$A$167,$A20,'Military Detail'!$C$6:$C$167,P$5))</x:f>
        <x:v>123989.9076923077</x:v>
      </x:c>
      <x:c r="Q20" s="67" t="n">
        <x:f>IF('Dashboard'!$H$4="Taxable-salary equivalent",SUMIFS('Military Detail'!$O$6:$O$167,'Military Detail'!$A$6:$A$167,$A20,'Military Detail'!$C$6:$C$167,Q$5),SUMIFS('Military Detail'!$M$6:$M$167,'Military Detail'!$A$6:$A$167,$A20,'Military Detail'!$C$6:$C$167,Q$5))</x:f>
        <x:v>147300.27692307692</x:v>
      </x:c>
      <x:c r="R20" s="67" t="n">
        <x:f>'Private Wage'!$E20</x:f>
        <x:v>45697.600000000006</x:v>
      </x:c>
    </x:row>
    <x:row r="21">
      <x:c r="A21" s="45" t="n">
        <x:v>2016</x:v>
      </x:c>
      <x:c r="B21" s="45" t="str">
        <x:v>Actual</x:v>
      </x:c>
      <x:c r="C21" s="67" t="n">
        <x:f>IF('Dashboard'!$E$4="New-hire after FERS",'GS Source'!E21,'GS Source'!D21)</x:f>
        <x:v>38271.547999999995</x:v>
      </x:c>
      <x:c r="D21" s="67" t="n">
        <x:f>IF('Dashboard'!$E$4="New-hire after FERS",'GS Source'!G21,'GS Source'!F21)</x:f>
        <x:v>46813.407999999996</x:v>
      </x:c>
      <x:c r="E21" s="67" t="n">
        <x:f>IF('Dashboard'!$E$4="New-hire after FERS",'GS Source'!I21,'GS Source'!H21)</x:f>
        <x:v>56639.176</x:v>
      </x:c>
      <x:c r="F21" s="67" t="n">
        <x:f>IF('Dashboard'!$E$4="New-hire after FERS",'GS Source'!K21,'GS Source'!J21)</x:f>
        <x:v>67887.472</x:v>
      </x:c>
      <x:c r="G21" s="67" t="n">
        <x:f>IF('Dashboard'!$E$4="New-hire after FERS",'GS Source'!M21,'GS Source'!L21)</x:f>
        <x:v>80727.508</x:v>
      </x:c>
      <x:c r="H21" s="67" t="n">
        <x:f>IF('Dashboard'!$E$4="New-hire after FERS",'GS Source'!O21,'GS Source'!N21)</x:f>
        <x:v>104950.636</x:v>
      </x:c>
      <x:c r="I21" s="67" t="n">
        <x:f>IF('Dashboard'!$E$4="New-hire after FERS",'GS Source'!Q21,'GS Source'!P21)</x:f>
        <x:v>95394.45999999999</x:v>
      </x:c>
      <x:c r="J21" s="67" t="n">
        <x:f>IF('Dashboard'!$E$4="New-hire after FERS",'GS Source'!S21,'GS Source'!R21)</x:f>
        <x:v>112211.45599999999</x:v>
      </x:c>
      <x:c r="K21" s="67" t="n">
        <x:f>IF('Dashboard'!$E$4="New-hire after FERS",'GS Source'!U21,'GS Source'!T21)</x:f>
        <x:v>145878.908</x:v>
      </x:c>
      <x:c r="L21" s="67" t="n">
        <x:f>IF('Dashboard'!$H$4="Taxable-salary equivalent",SUMIFS('Military Detail'!$O$6:$O$167,'Military Detail'!$A$6:$A$167,$A21,'Military Detail'!$C$6:$C$167,L$5),SUMIFS('Military Detail'!$M$6:$M$167,'Military Detail'!$A$6:$A$167,$A21,'Military Detail'!$C$6:$C$167,L$5))</x:f>
        <x:v>57155.415384615386</x:v>
      </x:c>
      <x:c r="M21" s="67" t="n">
        <x:f>IF('Dashboard'!$H$4="Taxable-salary equivalent",SUMIFS('Military Detail'!$O$6:$O$167,'Military Detail'!$A$6:$A$167,$A21,'Military Detail'!$C$6:$C$167,M$5),SUMIFS('Military Detail'!$M$6:$M$167,'Military Detail'!$A$6:$A$167,$A21,'Military Detail'!$C$6:$C$167,M$5))</x:f>
        <x:v>70736.36923076924</x:v>
      </x:c>
      <x:c r="N21" s="67" t="n">
        <x:f>IF('Dashboard'!$H$4="Taxable-salary equivalent",SUMIFS('Military Detail'!$O$6:$O$167,'Military Detail'!$A$6:$A$167,$A21,'Military Detail'!$C$6:$C$167,N$5),SUMIFS('Military Detail'!$M$6:$M$167,'Military Detail'!$A$6:$A$167,$A21,'Military Detail'!$C$6:$C$167,N$5))</x:f>
        <x:v>92451.93846153845</x:v>
      </x:c>
      <x:c r="O21" s="67" t="n">
        <x:f>IF('Dashboard'!$H$4="Taxable-salary equivalent",SUMIFS('Military Detail'!$O$6:$O$167,'Military Detail'!$A$6:$A$167,$A21,'Military Detail'!$C$6:$C$167,O$5),SUMIFS('Military Detail'!$M$6:$M$167,'Military Detail'!$A$6:$A$167,$A21,'Military Detail'!$C$6:$C$167,O$5))</x:f>
        <x:v>108666.98461538462</x:v>
      </x:c>
      <x:c r="P21" s="67" t="n">
        <x:f>IF('Dashboard'!$H$4="Taxable-salary equivalent",SUMIFS('Military Detail'!$O$6:$O$167,'Military Detail'!$A$6:$A$167,$A21,'Military Detail'!$C$6:$C$167,P$5),SUMIFS('Military Detail'!$M$6:$M$167,'Military Detail'!$A$6:$A$167,$A21,'Military Detail'!$C$6:$C$167,P$5))</x:f>
        <x:v>126911.69230769231</x:v>
      </x:c>
      <x:c r="Q21" s="67" t="n">
        <x:f>IF('Dashboard'!$H$4="Taxable-salary equivalent",SUMIFS('Military Detail'!$O$6:$O$167,'Military Detail'!$A$6:$A$167,$A21,'Military Detail'!$C$6:$C$167,Q$5),SUMIFS('Military Detail'!$M$6:$M$167,'Military Detail'!$A$6:$A$167,$A21,'Military Detail'!$C$6:$C$167,Q$5))</x:f>
        <x:v>150474.7076923077</x:v>
      </x:c>
      <x:c r="R21" s="67" t="n">
        <x:f>'Private Wage'!$E21</x:f>
        <x:v>46903.99999999999</x:v>
      </x:c>
    </x:row>
    <x:row r="22">
      <x:c r="A22" s="45" t="n">
        <x:v>2017</x:v>
      </x:c>
      <x:c r="B22" s="45" t="str">
        <x:v>Actual</x:v>
      </x:c>
      <x:c r="C22" s="67" t="n">
        <x:f>IF('Dashboard'!$E$4="New-hire after FERS",'GS Source'!E22,'GS Source'!D22)</x:f>
        <x:v>38893.903999999995</x:v>
      </x:c>
      <x:c r="D22" s="67" t="n">
        <x:f>IF('Dashboard'!$E$4="New-hire after FERS",'GS Source'!G22,'GS Source'!F22)</x:f>
        <x:v>47575.34</x:v>
      </x:c>
      <x:c r="E22" s="67" t="n">
        <x:f>IF('Dashboard'!$E$4="New-hire after FERS",'GS Source'!I22,'GS Source'!H22)</x:f>
        <x:v>57560.759999999995</x:v>
      </x:c>
      <x:c r="F22" s="67" t="n">
        <x:f>IF('Dashboard'!$E$4="New-hire after FERS",'GS Source'!K22,'GS Source'!J22)</x:f>
        <x:v>68992.608</x:v>
      </x:c>
      <x:c r="G22" s="67" t="n">
        <x:f>IF('Dashboard'!$E$4="New-hire after FERS",'GS Source'!M22,'GS Source'!L22)</x:f>
        <x:v>82040.09599999999</x:v>
      </x:c>
      <x:c r="H22" s="67" t="n">
        <x:f>IF('Dashboard'!$E$4="New-hire after FERS",'GS Source'!O22,'GS Source'!N22)</x:f>
        <x:v>106651.36</x:v>
      </x:c>
      <x:c r="I22" s="67" t="n">
        <x:f>IF('Dashboard'!$E$4="New-hire after FERS",'GS Source'!Q22,'GS Source'!P22)</x:f>
        <x:v>96947.004</x:v>
      </x:c>
      <x:c r="J22" s="67" t="n">
        <x:f>IF('Dashboard'!$E$4="New-hire after FERS",'GS Source'!S22,'GS Source'!R22)</x:f>
        <x:v>114036.45999999999</x:v>
      </x:c>
      <x:c r="K22" s="67" t="n">
        <x:f>IF('Dashboard'!$E$4="New-hire after FERS",'GS Source'!U22,'GS Source'!T22)</x:f>
        <x:v>148249.788</x:v>
      </x:c>
      <x:c r="L22" s="67" t="n">
        <x:f>IF('Dashboard'!$H$4="Taxable-salary equivalent",SUMIFS('Military Detail'!$O$6:$O$167,'Military Detail'!$A$6:$A$167,$A22,'Military Detail'!$C$6:$C$167,L$5),SUMIFS('Military Detail'!$M$6:$M$167,'Military Detail'!$A$6:$A$167,$A22,'Military Detail'!$C$6:$C$167,L$5))</x:f>
        <x:v>58273.446153846155</x:v>
      </x:c>
      <x:c r="M22" s="67" t="n">
        <x:f>IF('Dashboard'!$H$4="Taxable-salary equivalent",SUMIFS('Military Detail'!$O$6:$O$167,'Military Detail'!$A$6:$A$167,$A22,'Military Detail'!$C$6:$C$167,M$5),SUMIFS('Military Detail'!$M$6:$M$167,'Military Detail'!$A$6:$A$167,$A22,'Military Detail'!$C$6:$C$167,M$5))</x:f>
        <x:v>71996.0923076923</x:v>
      </x:c>
      <x:c r="N22" s="67" t="n">
        <x:f>IF('Dashboard'!$H$4="Taxable-salary equivalent",SUMIFS('Military Detail'!$O$6:$O$167,'Military Detail'!$A$6:$A$167,$A22,'Military Detail'!$C$6:$C$167,N$5),SUMIFS('Military Detail'!$M$6:$M$167,'Military Detail'!$A$6:$A$167,$A22,'Military Detail'!$C$6:$C$167,N$5))</x:f>
        <x:v>94587.20000000001</x:v>
      </x:c>
      <x:c r="O22" s="67" t="n">
        <x:f>IF('Dashboard'!$H$4="Taxable-salary equivalent",SUMIFS('Military Detail'!$O$6:$O$167,'Military Detail'!$A$6:$A$167,$A22,'Military Detail'!$C$6:$C$167,O$5),SUMIFS('Military Detail'!$M$6:$M$167,'Military Detail'!$A$6:$A$167,$A22,'Military Detail'!$C$6:$C$167,O$5))</x:f>
        <x:v>111520.03076923075</x:v>
      </x:c>
      <x:c r="P22" s="67" t="n">
        <x:f>IF('Dashboard'!$H$4="Taxable-salary equivalent",SUMIFS('Military Detail'!$O$6:$O$167,'Military Detail'!$A$6:$A$167,$A22,'Military Detail'!$C$6:$C$167,P$5),SUMIFS('Military Detail'!$M$6:$M$167,'Military Detail'!$A$6:$A$167,$A22,'Military Detail'!$C$6:$C$167,P$5))</x:f>
        <x:v>130351.90769230768</x:v>
      </x:c>
      <x:c r="Q22" s="67" t="n">
        <x:f>IF('Dashboard'!$H$4="Taxable-salary equivalent",SUMIFS('Military Detail'!$O$6:$O$167,'Military Detail'!$A$6:$A$167,$A22,'Military Detail'!$C$6:$C$167,Q$5),SUMIFS('Military Detail'!$M$6:$M$167,'Military Detail'!$A$6:$A$167,$A22,'Military Detail'!$C$6:$C$167,Q$5))</x:f>
        <x:v>154450.67692307688</x:v>
      </x:c>
      <x:c r="R22" s="67" t="n">
        <x:f>'Private Wage'!$E22</x:f>
        <x:v>48375.6</x:v>
      </x:c>
    </x:row>
    <x:row r="23">
      <x:c r="A23" s="45" t="n">
        <x:v>2018</x:v>
      </x:c>
      <x:c r="B23" s="45" t="str">
        <x:v>Actual</x:v>
      </x:c>
      <x:c r="C23" s="67" t="n">
        <x:f>IF('Dashboard'!$E$4="New-hire after FERS",'GS Source'!E23,'GS Source'!D23)</x:f>
        <x:v>39544.939999999995</x:v>
      </x:c>
      <x:c r="D23" s="67" t="n">
        <x:f>IF('Dashboard'!$E$4="New-hire after FERS",'GS Source'!G23,'GS Source'!F23)</x:f>
        <x:v>48371.687999999995</x:v>
      </x:c>
      <x:c r="E23" s="67" t="n">
        <x:f>IF('Dashboard'!$E$4="New-hire after FERS",'GS Source'!I23,'GS Source'!H23)</x:f>
        <x:v>58524.407999999996</x:v>
      </x:c>
      <x:c r="F23" s="67" t="n">
        <x:f>IF('Dashboard'!$E$4="New-hire after FERS",'GS Source'!K23,'GS Source'!J23)</x:f>
        <x:v>70146.5</x:v>
      </x:c>
      <x:c r="G23" s="67" t="n">
        <x:f>IF('Dashboard'!$E$4="New-hire after FERS",'GS Source'!M23,'GS Source'!L23)</x:f>
        <x:v>83412.912</x:v>
      </x:c>
      <x:c r="H23" s="67" t="n">
        <x:f>IF('Dashboard'!$E$4="New-hire after FERS",'GS Source'!O23,'GS Source'!N23)</x:f>
        <x:v>108437.16799999999</x:v>
      </x:c>
      <x:c r="I23" s="67" t="n">
        <x:f>IF('Dashboard'!$E$4="New-hire after FERS",'GS Source'!Q23,'GS Source'!P23)</x:f>
        <x:v>98569.336</x:v>
      </x:c>
      <x:c r="J23" s="67" t="n">
        <x:f>IF('Dashboard'!$E$4="New-hire after FERS",'GS Source'!S23,'GS Source'!R23)</x:f>
        <x:v>115943.68</x:v>
      </x:c>
      <x:c r="K23" s="67" t="n">
        <x:f>IF('Dashboard'!$E$4="New-hire after FERS",'GS Source'!U23,'GS Source'!T23)</x:f>
        <x:v>150725.82799999998</x:v>
      </x:c>
      <x:c r="L23" s="67" t="n">
        <x:f>IF('Dashboard'!$H$4="Taxable-salary equivalent",SUMIFS('Military Detail'!$O$6:$O$167,'Military Detail'!$A$6:$A$167,$A23,'Military Detail'!$C$6:$C$167,L$5),SUMIFS('Military Detail'!$M$6:$M$167,'Military Detail'!$A$6:$A$167,$A23,'Military Detail'!$C$6:$C$167,L$5))</x:f>
        <x:v>60406.0923076923</x:v>
      </x:c>
      <x:c r="M23" s="67" t="n">
        <x:f>IF('Dashboard'!$H$4="Taxable-salary equivalent",SUMIFS('Military Detail'!$O$6:$O$167,'Military Detail'!$A$6:$A$167,$A23,'Military Detail'!$C$6:$C$167,M$5),SUMIFS('Military Detail'!$M$6:$M$167,'Military Detail'!$A$6:$A$167,$A23,'Military Detail'!$C$6:$C$167,M$5))</x:f>
        <x:v>73802.33846153846</x:v>
      </x:c>
      <x:c r="N23" s="67" t="n">
        <x:f>IF('Dashboard'!$H$4="Taxable-salary equivalent",SUMIFS('Military Detail'!$O$6:$O$167,'Military Detail'!$A$6:$A$167,$A23,'Military Detail'!$C$6:$C$167,N$5),SUMIFS('Military Detail'!$M$6:$M$167,'Military Detail'!$A$6:$A$167,$A23,'Military Detail'!$C$6:$C$167,N$5))</x:f>
        <x:v>97752.76923076922</x:v>
      </x:c>
      <x:c r="O23" s="67" t="n">
        <x:f>IF('Dashboard'!$H$4="Taxable-salary equivalent",SUMIFS('Military Detail'!$O$6:$O$167,'Military Detail'!$A$6:$A$167,$A23,'Military Detail'!$C$6:$C$167,O$5),SUMIFS('Military Detail'!$M$6:$M$167,'Military Detail'!$A$6:$A$167,$A23,'Military Detail'!$C$6:$C$167,O$5))</x:f>
        <x:v>115223.01538461537</x:v>
      </x:c>
      <x:c r="P23" s="67" t="n">
        <x:f>IF('Dashboard'!$H$4="Taxable-salary equivalent",SUMIFS('Military Detail'!$O$6:$O$167,'Military Detail'!$A$6:$A$167,$A23,'Military Detail'!$C$6:$C$167,P$5),SUMIFS('Military Detail'!$M$6:$M$167,'Military Detail'!$A$6:$A$167,$A23,'Military Detail'!$C$6:$C$167,P$5))</x:f>
        <x:v>134607.35384615386</x:v>
      </x:c>
      <x:c r="Q23" s="67" t="n">
        <x:f>IF('Dashboard'!$H$4="Taxable-salary equivalent",SUMIFS('Military Detail'!$O$6:$O$167,'Military Detail'!$A$6:$A$167,$A23,'Military Detail'!$C$6:$C$167,Q$5),SUMIFS('Military Detail'!$M$6:$M$167,'Military Detail'!$A$6:$A$167,$A23,'Military Detail'!$C$6:$C$167,Q$5))</x:f>
        <x:v>159328.27692307692</x:v>
      </x:c>
      <x:c r="R23" s="67" t="n">
        <x:f>'Private Wage'!$E23</x:f>
        <x:v>49634.00000000001</x:v>
      </x:c>
    </x:row>
    <x:row r="24">
      <x:c r="A24" s="45" t="n">
        <x:v>2019</x:v>
      </x:c>
      <x:c r="B24" s="45" t="str">
        <x:v>Actual</x:v>
      </x:c>
      <x:c r="C24" s="67" t="n">
        <x:f>IF('Dashboard'!$E$4="New-hire after FERS",'GS Source'!E24,'GS Source'!D24)</x:f>
        <x:v>40202.668</x:v>
      </x:c>
      <x:c r="D24" s="67" t="n">
        <x:f>IF('Dashboard'!$E$4="New-hire after FERS",'GS Source'!G24,'GS Source'!F24)</x:f>
        <x:v>49176.64</x:v>
      </x:c>
      <x:c r="E24" s="67" t="n">
        <x:f>IF('Dashboard'!$E$4="New-hire after FERS",'GS Source'!I24,'GS Source'!H24)</x:f>
        <x:v>59497.615999999995</x:v>
      </x:c>
      <x:c r="F24" s="67" t="n">
        <x:f>IF('Dashboard'!$E$4="New-hire after FERS",'GS Source'!K24,'GS Source'!J24)</x:f>
        <x:v>71313.776</x:v>
      </x:c>
      <x:c r="G24" s="67" t="n">
        <x:f>IF('Dashboard'!$E$4="New-hire after FERS",'GS Source'!M24,'GS Source'!L24)</x:f>
        <x:v>84801.02399999999</x:v>
      </x:c>
      <x:c r="H24" s="67" t="n">
        <x:f>IF('Dashboard'!$E$4="New-hire after FERS",'GS Source'!O24,'GS Source'!N24)</x:f>
        <x:v>110239.22799999999</x:v>
      </x:c>
      <x:c r="I24" s="67" t="n">
        <x:f>IF('Dashboard'!$E$4="New-hire after FERS",'GS Source'!Q24,'GS Source'!P24)</x:f>
        <x:v>100208.87599999999</x:v>
      </x:c>
      <x:c r="J24" s="67" t="n">
        <x:f>IF('Dashboard'!$E$4="New-hire after FERS",'GS Source'!S24,'GS Source'!R24)</x:f>
        <x:v>117872.88799999999</x:v>
      </x:c>
      <x:c r="K24" s="67" t="n">
        <x:f>IF('Dashboard'!$E$4="New-hire after FERS",'GS Source'!U24,'GS Source'!T24)</x:f>
        <x:v>153233.416</x:v>
      </x:c>
      <x:c r="L24" s="67" t="n">
        <x:f>IF('Dashboard'!$H$4="Taxable-salary equivalent",SUMIFS('Military Detail'!$O$6:$O$167,'Military Detail'!$A$6:$A$167,$A24,'Military Detail'!$C$6:$C$167,L$5),SUMIFS('Military Detail'!$M$6:$M$167,'Military Detail'!$A$6:$A$167,$A24,'Military Detail'!$C$6:$C$167,L$5))</x:f>
        <x:v>62666.8</x:v>
      </x:c>
      <x:c r="M24" s="67" t="n">
        <x:f>IF('Dashboard'!$H$4="Taxable-salary equivalent",SUMIFS('Military Detail'!$O$6:$O$167,'Military Detail'!$A$6:$A$167,$A24,'Military Detail'!$C$6:$C$167,M$5),SUMIFS('Military Detail'!$M$6:$M$167,'Military Detail'!$A$6:$A$167,$A24,'Military Detail'!$C$6:$C$167,M$5))</x:f>
        <x:v>76226.98461538462</x:v>
      </x:c>
      <x:c r="N24" s="67" t="n">
        <x:f>IF('Dashboard'!$H$4="Taxable-salary equivalent",SUMIFS('Military Detail'!$O$6:$O$167,'Military Detail'!$A$6:$A$167,$A24,'Military Detail'!$C$6:$C$167,N$5),SUMIFS('Military Detail'!$M$6:$M$167,'Military Detail'!$A$6:$A$167,$A24,'Military Detail'!$C$6:$C$167,N$5))</x:f>
        <x:v>100113.81538461539</x:v>
      </x:c>
      <x:c r="O24" s="67" t="n">
        <x:f>IF('Dashboard'!$H$4="Taxable-salary equivalent",SUMIFS('Military Detail'!$O$6:$O$167,'Military Detail'!$A$6:$A$167,$A24,'Military Detail'!$C$6:$C$167,O$5),SUMIFS('Military Detail'!$M$6:$M$167,'Military Detail'!$A$6:$A$167,$A24,'Military Detail'!$C$6:$C$167,O$5))</x:f>
        <x:v>117607.23076923077</x:v>
      </x:c>
      <x:c r="P24" s="67" t="n">
        <x:f>IF('Dashboard'!$H$4="Taxable-salary equivalent",SUMIFS('Military Detail'!$O$6:$O$167,'Military Detail'!$A$6:$A$167,$A24,'Military Detail'!$C$6:$C$167,P$5),SUMIFS('Military Detail'!$M$6:$M$167,'Military Detail'!$A$6:$A$167,$A24,'Military Detail'!$C$6:$C$167,P$5))</x:f>
        <x:v>137221.59999999998</x:v>
      </x:c>
      <x:c r="Q24" s="67" t="n">
        <x:f>IF('Dashboard'!$H$4="Taxable-salary equivalent",SUMIFS('Military Detail'!$O$6:$O$167,'Military Detail'!$A$6:$A$167,$A24,'Military Detail'!$C$6:$C$167,Q$5),SUMIFS('Military Detail'!$M$6:$M$167,'Military Detail'!$A$6:$A$167,$A24,'Military Detail'!$C$6:$C$167,Q$5))</x:f>
        <x:v>162533.5692307692</x:v>
      </x:c>
      <x:c r="R24" s="67" t="n">
        <x:f>'Private Wage'!$E24</x:f>
        <x:v>50466</x:v>
      </x:c>
    </x:row>
    <x:row r="25">
      <x:c r="A25" s="45" t="n">
        <x:v>2020</x:v>
      </x:c>
      <x:c r="B25" s="45" t="str">
        <x:v>Actual</x:v>
      </x:c>
      <x:c r="C25" s="67" t="n">
        <x:f>IF('Dashboard'!$E$4="New-hire after FERS",'GS Source'!E25,'GS Source'!D25)</x:f>
        <x:v>41347.956</x:v>
      </x:c>
      <x:c r="D25" s="67" t="n">
        <x:f>IF('Dashboard'!$E$4="New-hire after FERS",'GS Source'!G25,'GS Source'!F25)</x:f>
        <x:v>50577.18</x:v>
      </x:c>
      <x:c r="E25" s="67" t="n">
        <x:f>IF('Dashboard'!$E$4="New-hire after FERS",'GS Source'!I25,'GS Source'!H25)</x:f>
        <x:v>61192.604</x:v>
      </x:c>
      <x:c r="F25" s="67" t="n">
        <x:f>IF('Dashboard'!$E$4="New-hire after FERS",'GS Source'!K25,'GS Source'!J25)</x:f>
        <x:v>73345.276</x:v>
      </x:c>
      <x:c r="G25" s="67" t="n">
        <x:f>IF('Dashboard'!$E$4="New-hire after FERS",'GS Source'!M25,'GS Source'!L25)</x:f>
        <x:v>87216.836</x:v>
      </x:c>
      <x:c r="H25" s="67" t="n">
        <x:f>IF('Dashboard'!$E$4="New-hire after FERS",'GS Source'!O25,'GS Source'!N25)</x:f>
        <x:v>113384.468</x:v>
      </x:c>
      <x:c r="I25" s="67" t="n">
        <x:f>IF('Dashboard'!$E$4="New-hire after FERS",'GS Source'!Q25,'GS Source'!P25)</x:f>
        <x:v>103063.492</x:v>
      </x:c>
      <x:c r="J25" s="67" t="n">
        <x:f>IF('Dashboard'!$E$4="New-hire after FERS",'GS Source'!S25,'GS Source'!R25)</x:f>
        <x:v>121230.36</x:v>
      </x:c>
      <x:c r="K25" s="67" t="n">
        <x:f>IF('Dashboard'!$E$4="New-hire after FERS",'GS Source'!U25,'GS Source'!T25)</x:f>
        <x:v>157604.248</x:v>
      </x:c>
      <x:c r="L25" s="67" t="n">
        <x:f>IF('Dashboard'!$H$4="Taxable-salary equivalent",SUMIFS('Military Detail'!$O$6:$O$167,'Military Detail'!$A$6:$A$167,$A25,'Military Detail'!$C$6:$C$167,L$5),SUMIFS('Military Detail'!$M$6:$M$167,'Military Detail'!$A$6:$A$167,$A25,'Military Detail'!$C$6:$C$167,L$5))</x:f>
        <x:v>66471.04615384615</x:v>
      </x:c>
      <x:c r="M25" s="67" t="n">
        <x:f>IF('Dashboard'!$H$4="Taxable-salary equivalent",SUMIFS('Military Detail'!$O$6:$O$167,'Military Detail'!$A$6:$A$167,$A25,'Military Detail'!$C$6:$C$167,M$5),SUMIFS('Military Detail'!$M$6:$M$167,'Military Detail'!$A$6:$A$167,$A25,'Military Detail'!$C$6:$C$167,M$5))</x:f>
        <x:v>79894.33846153846</x:v>
      </x:c>
      <x:c r="N25" s="67" t="n">
        <x:f>IF('Dashboard'!$H$4="Taxable-salary equivalent",SUMIFS('Military Detail'!$O$6:$O$167,'Military Detail'!$A$6:$A$167,$A25,'Military Detail'!$C$6:$C$167,N$5),SUMIFS('Military Detail'!$M$6:$M$167,'Military Detail'!$A$6:$A$167,$A25,'Military Detail'!$C$6:$C$167,N$5))</x:f>
        <x:v>102867.13846153847</x:v>
      </x:c>
      <x:c r="O25" s="67" t="n">
        <x:f>IF('Dashboard'!$H$4="Taxable-salary equivalent",SUMIFS('Military Detail'!$O$6:$O$167,'Military Detail'!$A$6:$A$167,$A25,'Military Detail'!$C$6:$C$167,O$5),SUMIFS('Military Detail'!$M$6:$M$167,'Military Detail'!$A$6:$A$167,$A25,'Military Detail'!$C$6:$C$167,O$5))</x:f>
        <x:v>121166.03076923075</x:v>
      </x:c>
      <x:c r="P25" s="67" t="n">
        <x:f>IF('Dashboard'!$H$4="Taxable-salary equivalent",SUMIFS('Military Detail'!$O$6:$O$167,'Military Detail'!$A$6:$A$167,$A25,'Military Detail'!$C$6:$C$167,P$5),SUMIFS('Military Detail'!$M$6:$M$167,'Military Detail'!$A$6:$A$167,$A25,'Military Detail'!$C$6:$C$167,P$5))</x:f>
        <x:v>141526.61538461538</x:v>
      </x:c>
      <x:c r="Q25" s="67" t="n">
        <x:f>IF('Dashboard'!$H$4="Taxable-salary equivalent",SUMIFS('Military Detail'!$O$6:$O$167,'Military Detail'!$A$6:$A$167,$A25,'Military Detail'!$C$6:$C$167,Q$5),SUMIFS('Military Detail'!$M$6:$M$167,'Military Detail'!$A$6:$A$167,$A25,'Military Detail'!$C$6:$C$167,Q$5))</x:f>
        <x:v>167616.1846153846</x:v>
      </x:c>
      <x:c r="R25" s="67" t="n">
        <x:f>'Private Wage'!$E25</x:f>
        <x:v>52369.200000000004</x:v>
      </x:c>
    </x:row>
    <x:row r="26">
      <x:c r="A26" s="45" t="n">
        <x:v>2021</x:v>
      </x:c>
      <x:c r="B26" s="45" t="str">
        <x:v>Actual</x:v>
      </x:c>
      <x:c r="C26" s="67" t="n">
        <x:f>IF('Dashboard'!$E$4="New-hire after FERS",'GS Source'!E26,'GS Source'!D26)</x:f>
        <x:v>41760.948</x:v>
      </x:c>
      <x:c r="D26" s="67" t="n">
        <x:f>IF('Dashboard'!$E$4="New-hire after FERS",'GS Source'!G26,'GS Source'!F26)</x:f>
        <x:v>51081.948</x:v>
      </x:c>
      <x:c r="E26" s="67" t="n">
        <x:f>IF('Dashboard'!$E$4="New-hire after FERS",'GS Source'!I26,'GS Source'!H26)</x:f>
        <x:v>61804.443999999996</x:v>
      </x:c>
      <x:c r="F26" s="67" t="n">
        <x:f>IF('Dashboard'!$E$4="New-hire after FERS",'GS Source'!K26,'GS Source'!J26)</x:f>
        <x:v>74078.52799999999</x:v>
      </x:c>
      <x:c r="G26" s="67" t="n">
        <x:f>IF('Dashboard'!$E$4="New-hire after FERS",'GS Source'!M26,'GS Source'!L26)</x:f>
        <x:v>88088.708</x:v>
      </x:c>
      <x:c r="H26" s="67" t="n">
        <x:f>IF('Dashboard'!$E$4="New-hire after FERS",'GS Source'!O26,'GS Source'!N26)</x:f>
        <x:v>114516.37199999999</x:v>
      </x:c>
      <x:c r="I26" s="67" t="n">
        <x:f>IF('Dashboard'!$E$4="New-hire after FERS",'GS Source'!Q26,'GS Source'!P26)</x:f>
        <x:v>104094.06</x:v>
      </x:c>
      <x:c r="J26" s="67" t="n">
        <x:f>IF('Dashboard'!$E$4="New-hire after FERS",'GS Source'!S26,'GS Source'!R26)</x:f>
        <x:v>122442.568</x:v>
      </x:c>
      <x:c r="K26" s="67" t="n">
        <x:f>IF('Dashboard'!$E$4="New-hire after FERS",'GS Source'!U26,'GS Source'!T26)</x:f>
        <x:v>159175.91199999998</x:v>
      </x:c>
      <x:c r="L26" s="67" t="n">
        <x:f>IF('Dashboard'!$H$4="Taxable-salary equivalent",SUMIFS('Military Detail'!$O$6:$O$167,'Military Detail'!$A$6:$A$167,$A26,'Military Detail'!$C$6:$C$167,L$5),SUMIFS('Military Detail'!$M$6:$M$167,'Military Detail'!$A$6:$A$167,$A26,'Military Detail'!$C$6:$C$167,L$5))</x:f>
        <x:v>69463.13846153847</x:v>
      </x:c>
      <x:c r="M26" s="67" t="n">
        <x:f>IF('Dashboard'!$H$4="Taxable-salary equivalent",SUMIFS('Military Detail'!$O$6:$O$167,'Military Detail'!$A$6:$A$167,$A26,'Military Detail'!$C$6:$C$167,M$5),SUMIFS('Military Detail'!$M$6:$M$167,'Military Detail'!$A$6:$A$167,$A26,'Military Detail'!$C$6:$C$167,M$5))</x:f>
        <x:v>82284.4</x:v>
      </x:c>
      <x:c r="N26" s="67" t="n">
        <x:f>IF('Dashboard'!$H$4="Taxable-salary equivalent",SUMIFS('Military Detail'!$O$6:$O$167,'Military Detail'!$A$6:$A$167,$A26,'Military Detail'!$C$6:$C$167,N$5),SUMIFS('Military Detail'!$M$6:$M$167,'Military Detail'!$A$6:$A$167,$A26,'Military Detail'!$C$6:$C$167,N$5))</x:f>
        <x:v>107250.86153846154</x:v>
      </x:c>
      <x:c r="O26" s="67" t="n">
        <x:f>IF('Dashboard'!$H$4="Taxable-salary equivalent",SUMIFS('Military Detail'!$O$6:$O$167,'Military Detail'!$A$6:$A$167,$A26,'Military Detail'!$C$6:$C$167,O$5),SUMIFS('Military Detail'!$M$6:$M$167,'Military Detail'!$A$6:$A$167,$A26,'Military Detail'!$C$6:$C$167,O$5))</x:f>
        <x:v>126120.86153846154</x:v>
      </x:c>
      <x:c r="P26" s="67" t="n">
        <x:f>IF('Dashboard'!$H$4="Taxable-salary equivalent",SUMIFS('Military Detail'!$O$6:$O$167,'Military Detail'!$A$6:$A$167,$A26,'Military Detail'!$C$6:$C$167,P$5),SUMIFS('Military Detail'!$M$6:$M$167,'Military Detail'!$A$6:$A$167,$A26,'Military Detail'!$C$6:$C$167,P$5))</x:f>
        <x:v>147135.35384615386</x:v>
      </x:c>
      <x:c r="Q26" s="67" t="n">
        <x:f>IF('Dashboard'!$H$4="Taxable-salary equivalent",SUMIFS('Military Detail'!$O$6:$O$167,'Military Detail'!$A$6:$A$167,$A26,'Military Detail'!$C$6:$C$167,Q$5),SUMIFS('Military Detail'!$M$6:$M$167,'Military Detail'!$A$6:$A$167,$A26,'Military Detail'!$C$6:$C$167,Q$5))</x:f>
        <x:v>174002.52307692307</x:v>
      </x:c>
      <x:c r="R26" s="67" t="n">
        <x:f>'Private Wage'!$E26</x:f>
        <x:v>54553.2</x:v>
      </x:c>
    </x:row>
    <x:row r="27">
      <x:c r="A27" s="45" t="n">
        <x:v>2022</x:v>
      </x:c>
      <x:c r="B27" s="45" t="str">
        <x:v>Actual</x:v>
      </x:c>
      <x:c r="C27" s="67" t="n">
        <x:f>IF('Dashboard'!$E$4="New-hire after FERS",'GS Source'!E27,'GS Source'!D27)</x:f>
        <x:v>42771.439999999995</x:v>
      </x:c>
      <x:c r="D27" s="67" t="n">
        <x:f>IF('Dashboard'!$E$4="New-hire after FERS",'GS Source'!G27,'GS Source'!F27)</x:f>
        <x:v>52319.011999999995</x:v>
      </x:c>
      <x:c r="E27" s="67" t="n">
        <x:f>IF('Dashboard'!$E$4="New-hire after FERS",'GS Source'!I27,'GS Source'!H27)</x:f>
        <x:v>63300.583999999995</x:v>
      </x:c>
      <x:c r="F27" s="67" t="n">
        <x:f>IF('Dashboard'!$E$4="New-hire after FERS",'GS Source'!K27,'GS Source'!J27)</x:f>
        <x:v>75871.02799999999</x:v>
      </x:c>
      <x:c r="G27" s="67" t="n">
        <x:f>IF('Dashboard'!$E$4="New-hire after FERS",'GS Source'!M27,'GS Source'!L27)</x:f>
        <x:v>90220.588</x:v>
      </x:c>
      <x:c r="H27" s="67" t="n">
        <x:f>IF('Dashboard'!$E$4="New-hire after FERS",'GS Source'!O27,'GS Source'!N27)</x:f>
        <x:v>117284.94799999999</x:v>
      </x:c>
      <x:c r="I27" s="67" t="n">
        <x:f>IF('Dashboard'!$E$4="New-hire after FERS",'GS Source'!Q27,'GS Source'!P27)</x:f>
        <x:v>106614.076</x:v>
      </x:c>
      <x:c r="J27" s="67" t="n">
        <x:f>IF('Dashboard'!$E$4="New-hire after FERS",'GS Source'!S27,'GS Source'!R27)</x:f>
        <x:v>125406.16799999999</x:v>
      </x:c>
      <x:c r="K27" s="67" t="n">
        <x:f>IF('Dashboard'!$E$4="New-hire after FERS",'GS Source'!U27,'GS Source'!T27)</x:f>
        <x:v>163028.592</x:v>
      </x:c>
      <x:c r="L27" s="67" t="n">
        <x:f>IF('Dashboard'!$H$4="Taxable-salary equivalent",SUMIFS('Military Detail'!$O$6:$O$167,'Military Detail'!$A$6:$A$167,$A27,'Military Detail'!$C$6:$C$167,L$5),SUMIFS('Military Detail'!$M$6:$M$167,'Military Detail'!$A$6:$A$167,$A27,'Military Detail'!$C$6:$C$167,L$5))</x:f>
        <x:v>72347.44615384616</x:v>
      </x:c>
      <x:c r="M27" s="67" t="n">
        <x:f>IF('Dashboard'!$H$4="Taxable-salary equivalent",SUMIFS('Military Detail'!$O$6:$O$167,'Military Detail'!$A$6:$A$167,$A27,'Military Detail'!$C$6:$C$167,M$5),SUMIFS('Military Detail'!$M$6:$M$167,'Military Detail'!$A$6:$A$167,$A27,'Military Detail'!$C$6:$C$167,M$5))</x:f>
        <x:v>86433.7846153846</x:v>
      </x:c>
      <x:c r="N27" s="67" t="n">
        <x:f>IF('Dashboard'!$H$4="Taxable-salary equivalent",SUMIFS('Military Detail'!$O$6:$O$167,'Military Detail'!$A$6:$A$167,$A27,'Military Detail'!$C$6:$C$167,N$5),SUMIFS('Military Detail'!$M$6:$M$167,'Military Detail'!$A$6:$A$167,$A27,'Military Detail'!$C$6:$C$167,N$5))</x:f>
        <x:v>111174.27692307693</x:v>
      </x:c>
      <x:c r="O27" s="67" t="n">
        <x:f>IF('Dashboard'!$H$4="Taxable-salary equivalent",SUMIFS('Military Detail'!$O$6:$O$167,'Military Detail'!$A$6:$A$167,$A27,'Military Detail'!$C$6:$C$167,O$5),SUMIFS('Military Detail'!$M$6:$M$167,'Military Detail'!$A$6:$A$167,$A27,'Military Detail'!$C$6:$C$167,O$5))</x:f>
        <x:v>131182.98461538463</x:v>
      </x:c>
      <x:c r="P27" s="67" t="n">
        <x:f>IF('Dashboard'!$H$4="Taxable-salary equivalent",SUMIFS('Military Detail'!$O$6:$O$167,'Military Detail'!$A$6:$A$167,$A27,'Military Detail'!$C$6:$C$167,P$5),SUMIFS('Military Detail'!$M$6:$M$167,'Military Detail'!$A$6:$A$167,$A27,'Military Detail'!$C$6:$C$167,P$5))</x:f>
        <x:v>153223.56923076924</x:v>
      </x:c>
      <x:c r="Q27" s="67" t="n">
        <x:f>IF('Dashboard'!$H$4="Taxable-salary equivalent",SUMIFS('Military Detail'!$O$6:$O$167,'Military Detail'!$A$6:$A$167,$A27,'Military Detail'!$C$6:$C$167,Q$5),SUMIFS('Military Detail'!$M$6:$M$167,'Military Detail'!$A$6:$A$167,$A27,'Military Detail'!$C$6:$C$167,Q$5))</x:f>
        <x:v>180810.73846153848</x:v>
      </x:c>
      <x:c r="R27" s="67" t="n">
        <x:f>'Private Wage'!$E27</x:f>
        <x:v>57683.600000000006</x:v>
      </x:c>
    </x:row>
    <x:row r="28">
      <x:c r="A28" s="45" t="n">
        <x:v>2023</x:v>
      </x:c>
      <x:c r="B28" s="45" t="str">
        <x:v>Actual</x:v>
      </x:c>
      <x:c r="C28" s="67" t="n">
        <x:f>IF('Dashboard'!$E$4="New-hire after FERS",'GS Source'!E28,'GS Source'!D28)</x:f>
        <x:v>44641.376</x:v>
      </x:c>
      <x:c r="D28" s="67" t="n">
        <x:f>IF('Dashboard'!$E$4="New-hire after FERS",'GS Source'!G28,'GS Source'!F28)</x:f>
        <x:v>54604.808</x:v>
      </x:c>
      <x:c r="E28" s="67" t="n">
        <x:f>IF('Dashboard'!$E$4="New-hire after FERS",'GS Source'!I28,'GS Source'!H28)</x:f>
        <x:v>66066.292</x:v>
      </x:c>
      <x:c r="F28" s="67" t="n">
        <x:f>IF('Dashboard'!$E$4="New-hire after FERS",'GS Source'!K28,'GS Source'!J28)</x:f>
        <x:v>79185.48</x:v>
      </x:c>
      <x:c r="G28" s="67" t="n">
        <x:f>IF('Dashboard'!$E$4="New-hire after FERS",'GS Source'!M28,'GS Source'!L28)</x:f>
        <x:v>94162.17599999999</x:v>
      </x:c>
      <x:c r="H28" s="67" t="n">
        <x:f>IF('Dashboard'!$E$4="New-hire after FERS",'GS Source'!O28,'GS Source'!N28)</x:f>
        <x:v>122409.108</x:v>
      </x:c>
      <x:c r="I28" s="67" t="n">
        <x:f>IF('Dashboard'!$E$4="New-hire after FERS",'GS Source'!Q28,'GS Source'!P28)</x:f>
        <x:v>111271.708</x:v>
      </x:c>
      <x:c r="J28" s="67" t="n">
        <x:f>IF('Dashboard'!$E$4="New-hire after FERS",'GS Source'!S28,'GS Source'!R28)</x:f>
        <x:v>130884.048</x:v>
      </x:c>
      <x:c r="K28" s="67" t="n">
        <x:f>IF('Dashboard'!$E$4="New-hire after FERS",'GS Source'!U28,'GS Source'!T28)</x:f>
        <x:v>170146.968</x:v>
      </x:c>
      <x:c r="L28" s="67" t="n">
        <x:f>IF('Dashboard'!$H$4="Taxable-salary equivalent",SUMIFS('Military Detail'!$O$6:$O$167,'Military Detail'!$A$6:$A$167,$A28,'Military Detail'!$C$6:$C$167,L$5),SUMIFS('Military Detail'!$M$6:$M$167,'Military Detail'!$A$6:$A$167,$A28,'Military Detail'!$C$6:$C$167,L$5))</x:f>
        <x:v>78949.16923076923</x:v>
      </x:c>
      <x:c r="M28" s="67" t="n">
        <x:f>IF('Dashboard'!$H$4="Taxable-salary equivalent",SUMIFS('Military Detail'!$O$6:$O$167,'Military Detail'!$A$6:$A$167,$A28,'Military Detail'!$C$6:$C$167,M$5),SUMIFS('Military Detail'!$M$6:$M$167,'Military Detail'!$A$6:$A$167,$A28,'Military Detail'!$C$6:$C$167,M$5))</x:f>
        <x:v>93405.93846153846</x:v>
      </x:c>
      <x:c r="N28" s="67" t="n">
        <x:f>IF('Dashboard'!$H$4="Taxable-salary equivalent",SUMIFS('Military Detail'!$O$6:$O$167,'Military Detail'!$A$6:$A$167,$A28,'Military Detail'!$C$6:$C$167,N$5),SUMIFS('Military Detail'!$M$6:$M$167,'Military Detail'!$A$6:$A$167,$A28,'Military Detail'!$C$6:$C$167,N$5))</x:f>
        <x:v>118512.52307692308</x:v>
      </x:c>
      <x:c r="O28" s="67" t="n">
        <x:f>IF('Dashboard'!$H$4="Taxable-salary equivalent",SUMIFS('Military Detail'!$O$6:$O$167,'Military Detail'!$A$6:$A$167,$A28,'Military Detail'!$C$6:$C$167,O$5),SUMIFS('Military Detail'!$M$6:$M$167,'Military Detail'!$A$6:$A$167,$A28,'Military Detail'!$C$6:$C$167,O$5))</x:f>
        <x:v>139714.21538461538</x:v>
      </x:c>
      <x:c r="P28" s="67" t="n">
        <x:f>IF('Dashboard'!$H$4="Taxable-salary equivalent",SUMIFS('Military Detail'!$O$6:$O$167,'Military Detail'!$A$6:$A$167,$A28,'Military Detail'!$C$6:$C$167,P$5),SUMIFS('Military Detail'!$M$6:$M$167,'Military Detail'!$A$6:$A$167,$A28,'Military Detail'!$C$6:$C$167,P$5))</x:f>
        <x:v>162942.52307692307</x:v>
      </x:c>
      <x:c r="Q28" s="67" t="n">
        <x:f>IF('Dashboard'!$H$4="Taxable-salary equivalent",SUMIFS('Military Detail'!$O$6:$O$167,'Military Detail'!$A$6:$A$167,$A28,'Military Detail'!$C$6:$C$167,Q$5),SUMIFS('Military Detail'!$M$6:$M$167,'Military Detail'!$A$6:$A$167,$A28,'Military Detail'!$C$6:$C$167,Q$5))</x:f>
        <x:v>191882</x:v>
      </x:c>
      <x:c r="R28" s="67" t="n">
        <x:f>'Private Wage'!$E28</x:f>
        <x:v>61048</x:v>
      </x:c>
    </x:row>
    <x:row r="29">
      <x:c r="A29" s="45" t="n">
        <x:v>2024</x:v>
      </x:c>
      <x:c r="B29" s="45" t="str">
        <x:v>Actual</x:v>
      </x:c>
      <x:c r="C29" s="67" t="n">
        <x:f>IF('Dashboard'!$E$4="New-hire after FERS",'GS Source'!E29,'GS Source'!D29)</x:f>
        <x:v>46867.9</x:v>
      </x:c>
      <x:c r="D29" s="67" t="n">
        <x:f>IF('Dashboard'!$E$4="New-hire after FERS",'GS Source'!G29,'GS Source'!F29)</x:f>
        <x:v>57327.496</x:v>
      </x:c>
      <x:c r="E29" s="67" t="n">
        <x:f>IF('Dashboard'!$E$4="New-hire after FERS",'GS Source'!I29,'GS Source'!H29)</x:f>
        <x:v>69360.66799999999</x:v>
      </x:c>
      <x:c r="F29" s="67" t="n">
        <x:f>IF('Dashboard'!$E$4="New-hire after FERS",'GS Source'!K29,'GS Source'!J29)</x:f>
        <x:v>83135.67199999999</x:v>
      </x:c>
      <x:c r="G29" s="67" t="n">
        <x:f>IF('Dashboard'!$E$4="New-hire after FERS",'GS Source'!M29,'GS Source'!L29)</x:f>
        <x:v>98859.004</x:v>
      </x:c>
      <x:c r="H29" s="67" t="n">
        <x:f>IF('Dashboard'!$E$4="New-hire after FERS",'GS Source'!O29,'GS Source'!N29)</x:f>
        <x:v>128519.86</x:v>
      </x:c>
      <x:c r="I29" s="67" t="n">
        <x:f>IF('Dashboard'!$E$4="New-hire after FERS",'GS Source'!Q29,'GS Source'!P29)</x:f>
        <x:v>116821.288</x:v>
      </x:c>
      <x:c r="J29" s="67" t="n">
        <x:f>IF('Dashboard'!$E$4="New-hire after FERS",'GS Source'!S29,'GS Source'!R29)</x:f>
        <x:v>137411.61599999998</x:v>
      </x:c>
      <x:c r="K29" s="67" t="n">
        <x:f>IF('Dashboard'!$E$4="New-hire after FERS",'GS Source'!U29,'GS Source'!T29)</x:f>
        <x:v>178632.424</x:v>
      </x:c>
      <x:c r="L29" s="67" t="n">
        <x:f>IF('Dashboard'!$H$4="Taxable-salary equivalent",SUMIFS('Military Detail'!$O$6:$O$167,'Military Detail'!$A$6:$A$167,$A29,'Military Detail'!$C$6:$C$167,L$5),SUMIFS('Military Detail'!$M$6:$M$167,'Military Detail'!$A$6:$A$167,$A29,'Military Detail'!$C$6:$C$167,L$5))</x:f>
        <x:v>82175.63076923076</x:v>
      </x:c>
      <x:c r="M29" s="67" t="n">
        <x:f>IF('Dashboard'!$H$4="Taxable-salary equivalent",SUMIFS('Military Detail'!$O$6:$O$167,'Military Detail'!$A$6:$A$167,$A29,'Military Detail'!$C$6:$C$167,M$5),SUMIFS('Military Detail'!$M$6:$M$167,'Military Detail'!$A$6:$A$167,$A29,'Military Detail'!$C$6:$C$167,M$5))</x:f>
        <x:v>98264.67692307693</x:v>
      </x:c>
      <x:c r="N29" s="67" t="n">
        <x:f>IF('Dashboard'!$H$4="Taxable-salary equivalent",SUMIFS('Military Detail'!$O$6:$O$167,'Military Detail'!$A$6:$A$167,$A29,'Military Detail'!$C$6:$C$167,N$5),SUMIFS('Military Detail'!$M$6:$M$167,'Military Detail'!$A$6:$A$167,$A29,'Military Detail'!$C$6:$C$167,N$5))</x:f>
        <x:v>125224.06153846154</x:v>
      </x:c>
      <x:c r="O29" s="67" t="n">
        <x:f>IF('Dashboard'!$H$4="Taxable-salary equivalent",SUMIFS('Military Detail'!$O$6:$O$167,'Military Detail'!$A$6:$A$167,$A29,'Military Detail'!$C$6:$C$167,O$5),SUMIFS('Military Detail'!$M$6:$M$167,'Military Detail'!$A$6:$A$167,$A29,'Military Detail'!$C$6:$C$167,O$5))</x:f>
        <x:v>146562.73846153848</x:v>
      </x:c>
      <x:c r="P29" s="67" t="n">
        <x:f>IF('Dashboard'!$H$4="Taxable-salary equivalent",SUMIFS('Military Detail'!$O$6:$O$167,'Military Detail'!$A$6:$A$167,$A29,'Military Detail'!$C$6:$C$167,P$5),SUMIFS('Military Detail'!$M$6:$M$167,'Military Detail'!$A$6:$A$167,$A29,'Military Detail'!$C$6:$C$167,P$5))</x:f>
        <x:v>170359.75384615382</x:v>
      </x:c>
      <x:c r="Q29" s="67" t="n">
        <x:f>IF('Dashboard'!$H$4="Taxable-salary equivalent",SUMIFS('Military Detail'!$O$6:$O$167,'Military Detail'!$A$6:$A$167,$A29,'Military Detail'!$C$6:$C$167,Q$5),SUMIFS('Military Detail'!$M$6:$M$167,'Military Detail'!$A$6:$A$167,$A29,'Military Detail'!$C$6:$C$167,Q$5))</x:f>
        <x:v>200743.47692307696</x:v>
      </x:c>
      <x:c r="R29" s="67" t="n">
        <x:f>'Private Wage'!$E29</x:f>
        <x:v>64677.6</x:v>
      </x:c>
    </x:row>
    <x:row r="30">
      <x:c r="A30" s="45" t="n">
        <x:v>2025</x:v>
      </x:c>
      <x:c r="B30" s="45" t="str">
        <x:v>Actual</x:v>
      </x:c>
      <x:c r="C30" s="67" t="n">
        <x:f>IF('Dashboard'!$E$4="New-hire after FERS",'GS Source'!E30,'GS Source'!D30)</x:f>
        <x:v>47761.759999999995</x:v>
      </x:c>
      <x:c r="D30" s="67" t="n">
        <x:f>IF('Dashboard'!$E$4="New-hire after FERS",'GS Source'!G30,'GS Source'!F30)</x:f>
        <x:v>58422.115999999995</x:v>
      </x:c>
      <x:c r="E30" s="67" t="n">
        <x:f>IF('Dashboard'!$E$4="New-hire after FERS",'GS Source'!I30,'GS Source'!H30)</x:f>
        <x:v>70685.684</x:v>
      </x:c>
      <x:c r="F30" s="67" t="n">
        <x:f>IF('Dashboard'!$E$4="New-hire after FERS",'GS Source'!K30,'GS Source'!J30)</x:f>
        <x:v>84721.67599999999</x:v>
      </x:c>
      <x:c r="G30" s="67" t="n">
        <x:f>IF('Dashboard'!$E$4="New-hire after FERS",'GS Source'!M30,'GS Source'!L30)</x:f>
        <x:v>100746.148</x:v>
      </x:c>
      <x:c r="H30" s="67" t="n">
        <x:f>IF('Dashboard'!$E$4="New-hire after FERS",'GS Source'!O30,'GS Source'!N30)</x:f>
        <x:v>130972</x:v>
      </x:c>
      <x:c r="I30" s="67" t="n">
        <x:f>IF('Dashboard'!$E$4="New-hire after FERS",'GS Source'!Q30,'GS Source'!P30)</x:f>
        <x:v>119051.636</x:v>
      </x:c>
      <x:c r="J30" s="67" t="n">
        <x:f>IF('Dashboard'!$E$4="New-hire after FERS",'GS Source'!S30,'GS Source'!R30)</x:f>
        <x:v>140035.83599999998</x:v>
      </x:c>
      <x:c r="K30" s="67" t="n">
        <x:f>IF('Dashboard'!$E$4="New-hire after FERS",'GS Source'!U30,'GS Source'!T30)</x:f>
        <x:v>182045.34399999998</x:v>
      </x:c>
      <x:c r="L30" s="67" t="n">
        <x:f>IF('Dashboard'!$H$4="Taxable-salary equivalent",SUMIFS('Military Detail'!$O$6:$O$167,'Military Detail'!$A$6:$A$167,$A30,'Military Detail'!$C$6:$C$167,L$5),SUMIFS('Military Detail'!$M$6:$M$167,'Military Detail'!$A$6:$A$167,$A30,'Military Detail'!$C$6:$C$167,L$5))</x:f>
        <x:v>85546.64615384616</x:v>
      </x:c>
      <x:c r="M30" s="67" t="n">
        <x:f>IF('Dashboard'!$H$4="Taxable-salary equivalent",SUMIFS('Military Detail'!$O$6:$O$167,'Military Detail'!$A$6:$A$167,$A30,'Military Detail'!$C$6:$C$167,M$5),SUMIFS('Military Detail'!$M$6:$M$167,'Military Detail'!$A$6:$A$167,$A30,'Military Detail'!$C$6:$C$167,M$5))</x:f>
        <x:v>101495.47692307692</x:v>
      </x:c>
      <x:c r="N30" s="67" t="n">
        <x:f>IF('Dashboard'!$H$4="Taxable-salary equivalent",SUMIFS('Military Detail'!$O$6:$O$167,'Military Detail'!$A$6:$A$167,$A30,'Military Detail'!$C$6:$C$167,N$5),SUMIFS('Military Detail'!$M$6:$M$167,'Military Detail'!$A$6:$A$167,$A30,'Military Detail'!$C$6:$C$167,N$5))</x:f>
        <x:v>130380.67692307693</x:v>
      </x:c>
      <x:c r="O30" s="67" t="n">
        <x:f>IF('Dashboard'!$H$4="Taxable-salary equivalent",SUMIFS('Military Detail'!$O$6:$O$167,'Military Detail'!$A$6:$A$167,$A30,'Military Detail'!$C$6:$C$167,O$5),SUMIFS('Military Detail'!$M$6:$M$167,'Military Detail'!$A$6:$A$167,$A30,'Military Detail'!$C$6:$C$167,O$5))</x:f>
        <x:v>152927.3846153846</x:v>
      </x:c>
      <x:c r="P30" s="67" t="n">
        <x:f>IF('Dashboard'!$H$4="Taxable-salary equivalent",SUMIFS('Military Detail'!$O$6:$O$167,'Military Detail'!$A$6:$A$167,$A30,'Military Detail'!$C$6:$C$167,P$5),SUMIFS('Military Detail'!$M$6:$M$167,'Military Detail'!$A$6:$A$167,$A30,'Military Detail'!$C$6:$C$167,P$5))</x:f>
        <x:v>177888.21538461535</x:v>
      </x:c>
      <x:c r="Q30" s="67" t="n">
        <x:f>IF('Dashboard'!$H$4="Taxable-salary equivalent",SUMIFS('Military Detail'!$O$6:$O$167,'Military Detail'!$A$6:$A$167,$A30,'Military Detail'!$C$6:$C$167,Q$5),SUMIFS('Military Detail'!$M$6:$M$167,'Military Detail'!$A$6:$A$167,$A30,'Military Detail'!$C$6:$C$167,Q$5))</x:f>
        <x:v>209721.4461538461</x:v>
      </x:c>
      <x:c r="R30" s="67" t="n">
        <x:f>'Private Wage'!$E30</x:f>
        <x:v>66918.8</x:v>
      </x:c>
    </x:row>
    <x:row r="31">
      <x:c r="A31" s="45" t="n">
        <x:v>2026</x:v>
      </x:c>
      <x:c r="B31" s="45" t="str">
        <x:v>Actual; private Q1 partial</x:v>
      </x:c>
      <x:c r="C31" s="67" t="n">
        <x:f>IF('Dashboard'!$E$4="New-hire after FERS",'GS Source'!E31,'GS Source'!D31)</x:f>
        <x:v>48239.759999999995</x:v>
      </x:c>
      <x:c r="D31" s="67" t="n">
        <x:f>IF('Dashboard'!$E$4="New-hire after FERS",'GS Source'!G31,'GS Source'!F31)</x:f>
        <x:v>59006.231999999996</x:v>
      </x:c>
      <x:c r="E31" s="67" t="n">
        <x:f>IF('Dashboard'!$E$4="New-hire after FERS",'GS Source'!I31,'GS Source'!H31)</x:f>
        <x:v>71392.16799999999</x:v>
      </x:c>
      <x:c r="F31" s="67" t="n">
        <x:f>IF('Dashboard'!$E$4="New-hire after FERS",'GS Source'!K31,'GS Source'!J31)</x:f>
        <x:v>85569.648</x:v>
      </x:c>
      <x:c r="G31" s="67" t="n">
        <x:f>IF('Dashboard'!$E$4="New-hire after FERS",'GS Source'!M31,'GS Source'!L31)</x:f>
        <x:v>101753.772</x:v>
      </x:c>
      <x:c r="H31" s="67" t="n">
        <x:f>IF('Dashboard'!$E$4="New-hire after FERS",'GS Source'!O31,'GS Source'!N31)</x:f>
        <x:v>132281.72</x:v>
      </x:c>
      <x:c r="I31" s="67" t="n">
        <x:f>IF('Dashboard'!$E$4="New-hire after FERS",'GS Source'!Q31,'GS Source'!P31)</x:f>
        <x:v>120241.856</x:v>
      </x:c>
      <x:c r="J31" s="67" t="n">
        <x:f>IF('Dashboard'!$E$4="New-hire after FERS",'GS Source'!S31,'GS Source'!R31)</x:f>
        <x:v>141435.41999999998</x:v>
      </x:c>
      <x:c r="K31" s="67" t="n">
        <x:f>IF('Dashboard'!$E$4="New-hire after FERS",'GS Source'!U31,'GS Source'!T31)</x:f>
        <x:v>183868.436</x:v>
      </x:c>
      <x:c r="L31" s="67" t="n">
        <x:f>IF('Dashboard'!$H$4="Taxable-salary equivalent",SUMIFS('Military Detail'!$O$6:$O$167,'Military Detail'!$A$6:$A$167,$A31,'Military Detail'!$C$6:$C$167,L$5),SUMIFS('Military Detail'!$M$6:$M$167,'Military Detail'!$A$6:$A$167,$A31,'Military Detail'!$C$6:$C$167,L$5))</x:f>
        <x:v>87763.63076923076</x:v>
      </x:c>
      <x:c r="M31" s="67" t="n">
        <x:f>IF('Dashboard'!$H$4="Taxable-salary equivalent",SUMIFS('Military Detail'!$O$6:$O$167,'Military Detail'!$A$6:$A$167,$A31,'Military Detail'!$C$6:$C$167,M$5),SUMIFS('Military Detail'!$M$6:$M$167,'Military Detail'!$A$6:$A$167,$A31,'Military Detail'!$C$6:$C$167,M$5))</x:f>
        <x:v>104654.09230769229</x:v>
      </x:c>
      <x:c r="N31" s="67" t="n">
        <x:f>IF('Dashboard'!$H$4="Taxable-salary equivalent",SUMIFS('Military Detail'!$O$6:$O$167,'Military Detail'!$A$6:$A$167,$A31,'Military Detail'!$C$6:$C$167,N$5),SUMIFS('Military Detail'!$M$6:$M$167,'Military Detail'!$A$6:$A$167,$A31,'Military Detail'!$C$6:$C$167,N$5))</x:f>
        <x:v>134220.61538461538</x:v>
      </x:c>
      <x:c r="O31" s="67" t="n">
        <x:f>IF('Dashboard'!$H$4="Taxable-salary equivalent",SUMIFS('Military Detail'!$O$6:$O$167,'Military Detail'!$A$6:$A$167,$A31,'Military Detail'!$C$6:$C$167,O$5),SUMIFS('Military Detail'!$M$6:$M$167,'Military Detail'!$A$6:$A$167,$A31,'Military Detail'!$C$6:$C$167,O$5))</x:f>
        <x:v>157555.07692307694</x:v>
      </x:c>
      <x:c r="P31" s="67" t="n">
        <x:f>IF('Dashboard'!$H$4="Taxable-salary equivalent",SUMIFS('Military Detail'!$O$6:$O$167,'Military Detail'!$A$6:$A$167,$A31,'Military Detail'!$C$6:$C$167,P$5),SUMIFS('Military Detail'!$M$6:$M$167,'Military Detail'!$A$6:$A$167,$A31,'Military Detail'!$C$6:$C$167,P$5))</x:f>
        <x:v>183518.36923076923</x:v>
      </x:c>
      <x:c r="Q31" s="67" t="n">
        <x:f>IF('Dashboard'!$H$4="Taxable-salary equivalent",SUMIFS('Military Detail'!$O$6:$O$167,'Military Detail'!$A$6:$A$167,$A31,'Military Detail'!$C$6:$C$167,Q$5),SUMIFS('Military Detail'!$M$6:$M$167,'Military Detail'!$A$6:$A$167,$A31,'Military Detail'!$C$6:$C$167,Q$5))</x:f>
        <x:v>216454.4923076923</x:v>
      </x:c>
      <x:c r="R31" s="67" t="n">
        <x:f>'Private Wage'!$E31</x:f>
        <x:v>67808</x:v>
      </x:c>
    </x:row>
    <x:row r="32">
      <x:c r="A32" s="70" t="str">
        <x:v>2027F</x:v>
      </x:c>
      <x:c r="B32" s="70" t="str">
        <x:v>Forecast</x:v>
      </x:c>
      <x:c r="C32" s="72" t="n">
        <x:f>IF('Dashboard'!$E$4="New-hire after FERS",'GS Source'!E32,'GS Source'!D32)</x:f>
        <x:v>48239.759999999995</x:v>
      </x:c>
      <x:c r="D32" s="72" t="n">
        <x:f>IF('Dashboard'!$E$4="New-hire after FERS",'GS Source'!G32,'GS Source'!F32)</x:f>
        <x:v>59006.231999999996</x:v>
      </x:c>
      <x:c r="E32" s="72" t="n">
        <x:f>IF('Dashboard'!$E$4="New-hire after FERS",'GS Source'!I32,'GS Source'!H32)</x:f>
        <x:v>71392.16799999999</x:v>
      </x:c>
      <x:c r="F32" s="72" t="n">
        <x:f>IF('Dashboard'!$E$4="New-hire after FERS",'GS Source'!K32,'GS Source'!J32)</x:f>
        <x:v>85569.648</x:v>
      </x:c>
      <x:c r="G32" s="72" t="n">
        <x:f>IF('Dashboard'!$E$4="New-hire after FERS",'GS Source'!M32,'GS Source'!L32)</x:f>
        <x:v>101753.772</x:v>
      </x:c>
      <x:c r="H32" s="72" t="n">
        <x:f>IF('Dashboard'!$E$4="New-hire after FERS",'GS Source'!O32,'GS Source'!N32)</x:f>
        <x:v>132281.72</x:v>
      </x:c>
      <x:c r="I32" s="72" t="n">
        <x:f>IF('Dashboard'!$E$4="New-hire after FERS",'GS Source'!Q32,'GS Source'!P32)</x:f>
        <x:v>120241.856</x:v>
      </x:c>
      <x:c r="J32" s="72" t="n">
        <x:f>IF('Dashboard'!$E$4="New-hire after FERS",'GS Source'!S32,'GS Source'!R32)</x:f>
        <x:v>141435.41999999998</x:v>
      </x:c>
      <x:c r="K32" s="72" t="n">
        <x:f>IF('Dashboard'!$E$4="New-hire after FERS",'GS Source'!U32,'GS Source'!T32)</x:f>
        <x:v>183868.436</x:v>
      </x:c>
      <x:c r="L32" s="72" t="n">
        <x:f>IF('Dashboard'!$H$4="Taxable-salary equivalent",SUMIFS('Military Detail'!$O$6:$O$167,'Military Detail'!$A$6:$A$167,$A32,'Military Detail'!$C$6:$C$167,L$5),SUMIFS('Military Detail'!$M$6:$M$167,'Military Detail'!$A$6:$A$167,$A32,'Military Detail'!$C$6:$C$167,L$5))</x:f>
        <x:v>90751.77476923077</x:v>
      </x:c>
      <x:c r="M32" s="72" t="n">
        <x:f>IF('Dashboard'!$H$4="Taxable-salary equivalent",SUMIFS('Military Detail'!$O$6:$O$167,'Military Detail'!$A$6:$A$167,$A32,'Military Detail'!$C$6:$C$167,M$5),SUMIFS('Military Detail'!$M$6:$M$167,'Military Detail'!$A$6:$A$167,$A32,'Military Detail'!$C$6:$C$167,M$5))</x:f>
        <x:v>108575.35630769229</x:v>
      </x:c>
      <x:c r="N32" s="72" t="n">
        <x:f>IF('Dashboard'!$H$4="Taxable-salary equivalent",SUMIFS('Military Detail'!$O$6:$O$167,'Military Detail'!$A$6:$A$167,$A32,'Military Detail'!$C$6:$C$167,N$5),SUMIFS('Military Detail'!$M$6:$M$167,'Military Detail'!$A$6:$A$167,$A32,'Military Detail'!$C$6:$C$167,N$5))</x:f>
        <x:v>139791.2553846154</x:v>
      </x:c>
      <x:c r="O32" s="72" t="n">
        <x:f>IF('Dashboard'!$H$4="Taxable-salary equivalent",SUMIFS('Military Detail'!$O$6:$O$167,'Military Detail'!$A$6:$A$167,$A32,'Military Detail'!$C$6:$C$167,O$5),SUMIFS('Military Detail'!$M$6:$M$167,'Military Detail'!$A$6:$A$167,$A32,'Military Detail'!$C$6:$C$167,O$5))</x:f>
        <x:v>163207.07692307694</x:v>
      </x:c>
      <x:c r="P32" s="72" t="n">
        <x:f>IF('Dashboard'!$H$4="Taxable-salary equivalent",SUMIFS('Military Detail'!$O$6:$O$167,'Military Detail'!$A$6:$A$167,$A32,'Military Detail'!$C$6:$C$167,P$5),SUMIFS('Military Detail'!$M$6:$M$167,'Military Detail'!$A$6:$A$167,$A32,'Military Detail'!$C$6:$C$167,P$5))</x:f>
        <x:v>190353.14923076925</x:v>
      </x:c>
      <x:c r="Q32" s="72" t="n">
        <x:f>IF('Dashboard'!$H$4="Taxable-salary equivalent",SUMIFS('Military Detail'!$O$6:$O$167,'Military Detail'!$A$6:$A$167,$A32,'Military Detail'!$C$6:$C$167,Q$5),SUMIFS('Military Detail'!$M$6:$M$167,'Military Detail'!$A$6:$A$167,$A32,'Military Detail'!$C$6:$C$167,Q$5))</x:f>
        <x:v>224922.23230769232</x:v>
      </x:c>
      <x:c r="R32" s="72" t="n">
        <x:f>'Private Wage'!$E32</x:f>
        <x:v>69977.856</x:v>
      </x:c>
    </x:row>
  </x:sheetData>
  <x:mergeCells>
    <x:mergeCell ref="A1:R1"/>
    <x:mergeCell ref="A2:R2"/>
  </x:mergeCells>
  <x:pageMargins left="0.7" right="0.7" top="0.75" bottom="0.75" header="0.3" footer="0.3"/>
  <x:tableParts count="1">
    <x:tablePart xmlns:r="http://schemas.openxmlformats.org/officeDocument/2006/relationships" r:id="Rb0d90b930ac544f4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</x:cols>
  <x:sheetData>
    <x:row r="1" ht="32" customHeight="1">
      <x:c r="A1" s="3" t="str">
        <x:v>Growth Indexed to 100 in 2001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ht="34" customHeight="1">
      <x:c r="A2" s="7" t="str">
        <x:v>Each selected-basis annual value is divided by that same series' 2001 value. This compares growth, not equal-dollar compensation.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</x:row>
    <x:row r="5" ht="32" customHeight="1">
      <x:c r="A5" s="13" t="str">
        <x:v>Year</x:v>
      </x:c>
      <x:c r="B5" s="13" t="str">
        <x:v>Status</x:v>
      </x:c>
      <x:c r="C5" s="13" t="str">
        <x:v>GS-7 step 1</x:v>
      </x:c>
      <x:c r="D5" s="13" t="str">
        <x:v>GS-9 step 1</x:v>
      </x:c>
      <x:c r="E5" s="13" t="str">
        <x:v>GS-11 step 1</x:v>
      </x:c>
      <x:c r="F5" s="13" t="str">
        <x:v>GS-12 step 1</x:v>
      </x:c>
      <x:c r="G5" s="13" t="str">
        <x:v>GS-13 step 1</x:v>
      </x:c>
      <x:c r="H5" s="13" t="str">
        <x:v>GS-13 step 10</x:v>
      </x:c>
      <x:c r="I5" s="13" t="str">
        <x:v>GS-14 step 1</x:v>
      </x:c>
      <x:c r="J5" s="13" t="str">
        <x:v>GS-15 step 1</x:v>
      </x:c>
      <x:c r="K5" s="13" t="str">
        <x:v>GS-15 step 10</x:v>
      </x:c>
      <x:c r="L5" s="13" t="str">
        <x:v>O-1</x:v>
      </x:c>
      <x:c r="M5" s="13" t="str">
        <x:v>O-2</x:v>
      </x:c>
      <x:c r="N5" s="13" t="str">
        <x:v>O-3</x:v>
      </x:c>
      <x:c r="O5" s="13" t="str">
        <x:v>O-4</x:v>
      </x:c>
      <x:c r="P5" s="13" t="str">
        <x:v>O-5</x:v>
      </x:c>
      <x:c r="Q5" s="13" t="str">
        <x:v>O-6</x:v>
      </x:c>
      <x:c r="R5" s="13" t="str">
        <x:v>Average private wage</x:v>
      </x:c>
    </x:row>
    <x:row r="6">
      <x:c r="A6" s="44" t="n">
        <x:f>'Annual Values'!A6</x:f>
        <x:v>2001</x:v>
      </x:c>
      <x:c r="B6" s="44" t="str">
        <x:f>'Annual Values'!B6</x:f>
        <x:v>Actual</x:v>
      </x:c>
      <x:c r="C6" s="90" t="n">
        <x:f>'Annual Values'!C6/'Annual Values'!C$6*100</x:f>
        <x:v>100</x:v>
      </x:c>
      <x:c r="D6" s="90" t="n">
        <x:f>'Annual Values'!D6/'Annual Values'!D$6*100</x:f>
        <x:v>100</x:v>
      </x:c>
      <x:c r="E6" s="90" t="n">
        <x:f>'Annual Values'!E6/'Annual Values'!E$6*100</x:f>
        <x:v>100</x:v>
      </x:c>
      <x:c r="F6" s="90" t="n">
        <x:f>'Annual Values'!F6/'Annual Values'!F$6*100</x:f>
        <x:v>100</x:v>
      </x:c>
      <x:c r="G6" s="90" t="n">
        <x:f>'Annual Values'!G6/'Annual Values'!G$6*100</x:f>
        <x:v>100</x:v>
      </x:c>
      <x:c r="H6" s="90" t="n">
        <x:f>'Annual Values'!H6/'Annual Values'!H$6*100</x:f>
        <x:v>100</x:v>
      </x:c>
      <x:c r="I6" s="90" t="n">
        <x:f>'Annual Values'!I6/'Annual Values'!I$6*100</x:f>
        <x:v>100</x:v>
      </x:c>
      <x:c r="J6" s="90" t="n">
        <x:f>'Annual Values'!J6/'Annual Values'!J$6*100</x:f>
        <x:v>100</x:v>
      </x:c>
      <x:c r="K6" s="90" t="n">
        <x:f>'Annual Values'!K6/'Annual Values'!K$6*100</x:f>
        <x:v>100</x:v>
      </x:c>
      <x:c r="L6" s="90" t="n">
        <x:f>'Annual Values'!L6/'Annual Values'!L$6*100</x:f>
        <x:v>100</x:v>
      </x:c>
      <x:c r="M6" s="90" t="n">
        <x:f>'Annual Values'!M6/'Annual Values'!M$6*100</x:f>
        <x:v>100</x:v>
      </x:c>
      <x:c r="N6" s="90" t="n">
        <x:f>'Annual Values'!N6/'Annual Values'!N$6*100</x:f>
        <x:v>100</x:v>
      </x:c>
      <x:c r="O6" s="90" t="n">
        <x:f>'Annual Values'!O6/'Annual Values'!O$6*100</x:f>
        <x:v>100</x:v>
      </x:c>
      <x:c r="P6" s="90" t="n">
        <x:f>'Annual Values'!P6/'Annual Values'!P$6*100</x:f>
        <x:v>100</x:v>
      </x:c>
      <x:c r="Q6" s="90" t="n">
        <x:f>'Annual Values'!Q6/'Annual Values'!Q$6*100</x:f>
        <x:v>100</x:v>
      </x:c>
      <x:c r="R6" s="90" t="n">
        <x:f>'Annual Values'!R6/'Annual Values'!R$6*100</x:f>
        <x:v>100</x:v>
      </x:c>
    </x:row>
    <x:row r="7">
      <x:c r="A7" s="45" t="n">
        <x:f>'Annual Values'!A7</x:f>
        <x:v>2002</x:v>
      </x:c>
      <x:c r="B7" s="45" t="str">
        <x:f>'Annual Values'!B7</x:f>
        <x:v>Actual</x:v>
      </x:c>
      <x:c r="C7" s="91" t="n">
        <x:f>'Annual Values'!C7/'Annual Values'!C$6*100</x:f>
        <x:v>104.52293922727426</x:v>
      </x:c>
      <x:c r="D7" s="91" t="n">
        <x:f>'Annual Values'!D7/'Annual Values'!D$6*100</x:f>
        <x:v>104.52412868632707</x:v>
      </x:c>
      <x:c r="E7" s="91" t="n">
        <x:f>'Annual Values'!E7/'Annual Values'!E$6*100</x:f>
        <x:v>104.52153441351612</x:v>
      </x:c>
      <x:c r="F7" s="91" t="n">
        <x:f>'Annual Values'!F7/'Annual Values'!F$6*100</x:f>
        <x:v>104.5217324320681</x:v>
      </x:c>
      <x:c r="G7" s="91" t="n">
        <x:f>'Annual Values'!G7/'Annual Values'!G$6*100</x:f>
        <x:v>104.52315017247243</x:v>
      </x:c>
      <x:c r="H7" s="91" t="n">
        <x:f>'Annual Values'!H7/'Annual Values'!H$6*100</x:f>
        <x:v>104.51301087457492</x:v>
      </x:c>
      <x:c r="I7" s="91" t="n">
        <x:f>'Annual Values'!I7/'Annual Values'!I$6*100</x:f>
        <x:v>104.52520933547123</x:v>
      </x:c>
      <x:c r="J7" s="91" t="n">
        <x:f>'Annual Values'!J7/'Annual Values'!J$6*100</x:f>
        <x:v>104.52395377015566</x:v>
      </x:c>
      <x:c r="K7" s="91" t="n">
        <x:f>'Annual Values'!K7/'Annual Values'!K$6*100</x:f>
        <x:v>104.52765255733503</x:v>
      </x:c>
      <x:c r="L7" s="91" t="n">
        <x:f>'Annual Values'!L7/'Annual Values'!L$6*100</x:f>
        <x:v>103.50104732541723</x:v>
      </x:c>
      <x:c r="M7" s="91" t="n">
        <x:f>'Annual Values'!M7/'Annual Values'!M$6*100</x:f>
        <x:v>103.64871845710408</x:v>
      </x:c>
      <x:c r="N7" s="91" t="n">
        <x:f>'Annual Values'!N7/'Annual Values'!N$6*100</x:f>
        <x:v>104.86500921744366</x:v>
      </x:c>
      <x:c r="O7" s="91" t="n">
        <x:f>'Annual Values'!O7/'Annual Values'!O$6*100</x:f>
        <x:v>105.42966283523889</x:v>
      </x:c>
      <x:c r="P7" s="91" t="n">
        <x:f>'Annual Values'!P7/'Annual Values'!P$6*100</x:f>
        <x:v>104.20621677068887</x:v>
      </x:c>
      <x:c r="Q7" s="91" t="n">
        <x:f>'Annual Values'!Q7/'Annual Values'!Q$6*100</x:f>
        <x:v>104.19597342220692</x:v>
      </x:c>
      <x:c r="R7" s="91" t="n">
        <x:f>'Annual Values'!R7/'Annual Values'!R$6*100</x:f>
        <x:v>105.03952569169961</x:v>
      </x:c>
    </x:row>
    <x:row r="8">
      <x:c r="A8" s="45" t="n">
        <x:f>'Annual Values'!A8</x:f>
        <x:v>2003</x:v>
      </x:c>
      <x:c r="B8" s="45" t="str">
        <x:f>'Annual Values'!B8</x:f>
        <x:v>Actual</x:v>
      </x:c>
      <x:c r="C8" s="91" t="n">
        <x:f>'Annual Values'!C8/'Annual Values'!C$6*100</x:f>
        <x:v>108.7350117856045</x:v>
      </x:c>
      <x:c r="D8" s="91" t="n">
        <x:f>'Annual Values'!D8/'Annual Values'!D$6*100</x:f>
        <x:v>108.7354781054513</x:v>
      </x:c>
      <x:c r="E8" s="91" t="n">
        <x:f>'Annual Values'!E8/'Annual Values'!E$6*100</x:f>
        <x:v>108.73378571758299</x:v>
      </x:c>
      <x:c r="F8" s="91" t="n">
        <x:f>'Annual Values'!F8/'Annual Values'!F$6*100</x:f>
        <x:v>108.7353399965336</x:v>
      </x:c>
      <x:c r="G8" s="91" t="n">
        <x:f>'Annual Values'!G8/'Annual Values'!G$6*100</x:f>
        <x:v>108.73536413545158</x:v>
      </x:c>
      <x:c r="H8" s="91" t="n">
        <x:f>'Annual Values'!H8/'Annual Values'!H$6*100</x:f>
        <x:v>108.73204698613586</x:v>
      </x:c>
      <x:c r="I8" s="91" t="n">
        <x:f>'Annual Values'!I8/'Annual Values'!I$6*100</x:f>
        <x:v>108.73658676972413</x:v>
      </x:c>
      <x:c r="J8" s="91" t="n">
        <x:f>'Annual Values'!J8/'Annual Values'!J$6*100</x:f>
        <x:v>108.73566968030572</x:v>
      </x:c>
      <x:c r="K8" s="91" t="n">
        <x:f>'Annual Values'!K8/'Annual Values'!K$6*100</x:f>
        <x:v>108.73715059015423</x:v>
      </x:c>
      <x:c r="L8" s="91" t="n">
        <x:f>'Annual Values'!L8/'Annual Values'!L$6*100</x:f>
        <x:v>106.33905292395389</x:v>
      </x:c>
      <x:c r="M8" s="91" t="n">
        <x:f>'Annual Values'!M8/'Annual Values'!M$6*100</x:f>
        <x:v>108.09341916966429</x:v>
      </x:c>
      <x:c r="N8" s="91" t="n">
        <x:f>'Annual Values'!N8/'Annual Values'!N$6*100</x:f>
        <x:v>109.03107639661609</x:v>
      </x:c>
      <x:c r="O8" s="91" t="n">
        <x:f>'Annual Values'!O8/'Annual Values'!O$6*100</x:f>
        <x:v>110.45852796889196</x:v>
      </x:c>
      <x:c r="P8" s="91" t="n">
        <x:f>'Annual Values'!P8/'Annual Values'!P$6*100</x:f>
        <x:v>105.91629825473878</x:v>
      </x:c>
      <x:c r="Q8" s="91" t="n">
        <x:f>'Annual Values'!Q8/'Annual Values'!Q$6*100</x:f>
        <x:v>108.28569888168519</x:v>
      </x:c>
      <x:c r="R8" s="91" t="n">
        <x:f>'Annual Values'!R8/'Annual Values'!R$6*100</x:f>
        <x:v>107.72397891963111</x:v>
      </x:c>
    </x:row>
    <x:row r="9">
      <x:c r="A9" s="45" t="n">
        <x:f>'Annual Values'!A9</x:f>
        <x:v>2004</x:v>
      </x:c>
      <x:c r="B9" s="45" t="str">
        <x:f>'Annual Values'!B9</x:f>
        <x:v>Actual</x:v>
      </x:c>
      <x:c r="C9" s="91" t="n">
        <x:f>'Annual Values'!C9/'Annual Values'!C$6*100</x:f>
        <x:v>112.97441328186383</x:v>
      </x:c>
      <x:c r="D9" s="91" t="n">
        <x:f>'Annual Values'!D9/'Annual Values'!D$6*100</x:f>
        <x:v>112.9747542448615</x:v>
      </x:c>
      <x:c r="E9" s="91" t="n">
        <x:f>'Annual Values'!E9/'Annual Values'!E$6*100</x:f>
        <x:v>112.97373401652587</x:v>
      </x:c>
      <x:c r="F9" s="91" t="n">
        <x:f>'Annual Values'!F9/'Annual Values'!F$6*100</x:f>
        <x:v>112.97590848691432</x:v>
      </x:c>
      <x:c r="G9" s="91" t="n">
        <x:f>'Annual Values'!G9/'Annual Values'!G$6*100</x:f>
        <x:v>112.97672836807074</x:v>
      </x:c>
      <x:c r="H9" s="91" t="n">
        <x:f>'Annual Values'!H9/'Annual Values'!H$6*100</x:f>
        <x:v>112.9710135901045</x:v>
      </x:c>
      <x:c r="I9" s="91" t="n">
        <x:f>'Annual Values'!I9/'Annual Values'!I$6*100</x:f>
        <x:v>112.97674354863025</x:v>
      </x:c>
      <x:c r="J9" s="91" t="n">
        <x:f>'Annual Values'!J9/'Annual Values'!J$6*100</x:f>
        <x:v>112.97651225650107</x:v>
      </x:c>
      <x:c r="K9" s="91" t="n">
        <x:f>'Annual Values'!K9/'Annual Values'!K$6*100</x:f>
        <x:v>112.97980839031734</x:v>
      </x:c>
      <x:c r="L9" s="91" t="n">
        <x:f>'Annual Values'!L9/'Annual Values'!L$6*100</x:f>
        <x:v>111.76460766413456</x:v>
      </x:c>
      <x:c r="M9" s="91" t="n">
        <x:f>'Annual Values'!M9/'Annual Values'!M$6*100</x:f>
        <x:v>111.9250321346729</x:v>
      </x:c>
      <x:c r="N9" s="91" t="n">
        <x:f>'Annual Values'!N9/'Annual Values'!N$6*100</x:f>
        <x:v>113.28781713751017</x:v>
      </x:c>
      <x:c r="O9" s="91" t="n">
        <x:f>'Annual Values'!O9/'Annual Values'!O$6*100</x:f>
        <x:v>115.08252459189035</x:v>
      </x:c>
      <x:c r="P9" s="91" t="n">
        <x:f>'Annual Values'!P9/'Annual Values'!P$6*100</x:f>
        <x:v>110.44841510633381</x:v>
      </x:c>
      <x:c r="Q9" s="91" t="n">
        <x:f>'Annual Values'!Q9/'Annual Values'!Q$6*100</x:f>
        <x:v>112.83081259086387</x:v>
      </x:c>
      <x:c r="R9" s="91" t="n">
        <x:f>'Annual Values'!R9/'Annual Values'!R$6*100</x:f>
        <x:v>110.88603425559948</x:v>
      </x:c>
    </x:row>
    <x:row r="10">
      <x:c r="A10" s="45" t="n">
        <x:f>'Annual Values'!A10</x:f>
        <x:v>2005</x:v>
      </x:c>
      <x:c r="B10" s="45" t="str">
        <x:f>'Annual Values'!B10</x:f>
        <x:v>Actual</x:v>
      </x:c>
      <x:c r="C10" s="91" t="n">
        <x:f>'Annual Values'!C10/'Annual Values'!C$6*100</x:f>
        <x:v>116.65698766781676</x:v>
      </x:c>
      <x:c r="D10" s="91" t="n">
        <x:f>'Annual Values'!D10/'Annual Values'!D$6*100</x:f>
        <x:v>116.65549597855227</x:v>
      </x:c>
      <x:c r="E10" s="91" t="n">
        <x:f>'Annual Values'!E10/'Annual Values'!E$6*100</x:f>
        <x:v>116.65281816922864</x:v>
      </x:c>
      <x:c r="F10" s="91" t="n">
        <x:f>'Annual Values'!F10/'Annual Values'!F$6*100</x:f>
        <x:v>116.65607487434282</x:v>
      </x:c>
      <x:c r="G10" s="91" t="n">
        <x:f>'Annual Values'!G10/'Annual Values'!G$6*100</x:f>
        <x:v>116.65775963983222</x:v>
      </x:c>
      <x:c r="H10" s="91" t="n">
        <x:f>'Annual Values'!H10/'Annual Values'!H$6*100</x:f>
        <x:v>116.64694378355487</x:v>
      </x:c>
      <x:c r="I10" s="91" t="n">
        <x:f>'Annual Values'!I10/'Annual Values'!I$6*100</x:f>
        <x:v>116.65638832929052</x:v>
      </x:c>
      <x:c r="J10" s="91" t="n">
        <x:f>'Annual Values'!J10/'Annual Values'!J$6*100</x:f>
        <x:v>116.6569577779849</x:v>
      </x:c>
      <x:c r="K10" s="91" t="n">
        <x:f>'Annual Values'!K10/'Annual Values'!K$6*100</x:f>
        <x:v>116.66233498534697</x:v>
      </x:c>
      <x:c r="L10" s="91" t="n">
        <x:f>'Annual Values'!L10/'Annual Values'!L$6*100</x:f>
        <x:v>116.5039117124292</x:v>
      </x:c>
      <x:c r="M10" s="91" t="n">
        <x:f>'Annual Values'!M10/'Annual Values'!M$6*100</x:f>
        <x:v>117.82452647721703</x:v>
      </x:c>
      <x:c r="N10" s="91" t="n">
        <x:f>'Annual Values'!N10/'Annual Values'!N$6*100</x:f>
        <x:v>119.54719113800493</x:v>
      </x:c>
      <x:c r="O10" s="91" t="n">
        <x:f>'Annual Values'!O10/'Annual Values'!O$6*100</x:f>
        <x:v>121.14285309733263</x:v>
      </x:c>
      <x:c r="P10" s="91" t="n">
        <x:f>'Annual Values'!P10/'Annual Values'!P$6*100</x:f>
        <x:v>116.01811719833567</x:v>
      </x:c>
      <x:c r="Q10" s="91" t="n">
        <x:f>'Annual Values'!Q10/'Annual Values'!Q$6*100</x:f>
        <x:v>118.25153469279499</x:v>
      </x:c>
      <x:c r="R10" s="91" t="n">
        <x:f>'Annual Values'!R10/'Annual Values'!R$6*100</x:f>
        <x:v>113.80105401844536</x:v>
      </x:c>
    </x:row>
    <x:row r="11">
      <x:c r="A11" s="45" t="n">
        <x:f>'Annual Values'!A11</x:f>
        <x:v>2006</x:v>
      </x:c>
      <x:c r="B11" s="45" t="str">
        <x:f>'Annual Values'!B11</x:f>
        <x:v>Actual</x:v>
      </x:c>
      <x:c r="C11" s="91" t="n">
        <x:f>'Annual Values'!C11/'Annual Values'!C$6*100</x:f>
        <x:v>119.96037304000274</x:v>
      </x:c>
      <x:c r="D11" s="91" t="n">
        <x:f>'Annual Values'!D11/'Annual Values'!D$6*100</x:f>
        <x:v>119.95922698838248</x:v>
      </x:c>
      <x:c r="E11" s="91" t="n">
        <x:f>'Annual Values'!E11/'Annual Values'!E$6*100</x:f>
        <x:v>119.95568480819831</x:v>
      </x:c>
      <x:c r="F11" s="91" t="n">
        <x:f>'Annual Values'!F11/'Annual Values'!F$6*100</x:f>
        <x:v>119.95878829895814</x:v>
      </x:c>
      <x:c r="G11" s="91" t="n">
        <x:f>'Annual Values'!G11/'Annual Values'!G$6*100</x:f>
        <x:v>119.95983740627378</x:v>
      </x:c>
      <x:c r="H11" s="91" t="n">
        <x:f>'Annual Values'!H11/'Annual Values'!H$6*100</x:f>
        <x:v>119.94668593280934</x:v>
      </x:c>
      <x:c r="I11" s="91" t="n">
        <x:f>'Annual Values'!I11/'Annual Values'!I$6*100</x:f>
        <x:v>119.95916073949213</x:v>
      </x:c>
      <x:c r="J11" s="91" t="n">
        <x:f>'Annual Values'!J11/'Annual Values'!J$6*100</x:f>
        <x:v>119.95992170752167</x:v>
      </x:c>
      <x:c r="K11" s="91" t="n">
        <x:f>'Annual Values'!K11/'Annual Values'!K$6*100</x:f>
        <x:v>119.95769889138832</x:v>
      </x:c>
      <x:c r="L11" s="91" t="n">
        <x:f>'Annual Values'!L11/'Annual Values'!L$6*100</x:f>
        <x:v>119.63996049466816</x:v>
      </x:c>
      <x:c r="M11" s="91" t="n">
        <x:f>'Annual Values'!M11/'Annual Values'!M$6*100</x:f>
        <x:v>121.02491060963483</x:v>
      </x:c>
      <x:c r="N11" s="91" t="n">
        <x:f>'Annual Values'!N11/'Annual Values'!N$6*100</x:f>
        <x:v>123.89543350967753</x:v>
      </x:c>
      <x:c r="O11" s="91" t="n">
        <x:f>'Annual Values'!O11/'Annual Values'!O$6*100</x:f>
        <x:v>124.68193485555048</x:v>
      </x:c>
      <x:c r="P11" s="91" t="n">
        <x:f>'Annual Values'!P11/'Annual Values'!P$6*100</x:f>
        <x:v>118.99990609107725</x:v>
      </x:c>
      <x:c r="Q11" s="91" t="n">
        <x:f>'Annual Values'!Q11/'Annual Values'!Q$6*100</x:f>
        <x:v>121.3823017975086</x:v>
      </x:c>
      <x:c r="R11" s="91" t="n">
        <x:f>'Annual Values'!R11/'Annual Values'!R$6*100</x:f>
        <x:v>118.00065876152834</x:v>
      </x:c>
    </x:row>
    <x:row r="12">
      <x:c r="A12" s="45" t="n">
        <x:f>'Annual Values'!A12</x:f>
        <x:v>2007</x:v>
      </x:c>
      <x:c r="B12" s="45" t="str">
        <x:f>'Annual Values'!B12</x:f>
        <x:v>Actual</x:v>
      </x:c>
      <x:c r="C12" s="91" t="n">
        <x:f>'Annual Values'!C12/'Annual Values'!C$6*100</x:f>
        <x:v>122.13302360537013</x:v>
      </x:c>
      <x:c r="D12" s="91" t="n">
        <x:f>'Annual Values'!D12/'Annual Values'!D$6*100</x:f>
        <x:v>122.12634048257374</x:v>
      </x:c>
      <x:c r="E12" s="91" t="n">
        <x:f>'Annual Values'!E12/'Annual Values'!E$6*100</x:f>
        <x:v>122.12528274015601</x:v>
      </x:c>
      <x:c r="F12" s="91" t="n">
        <x:f>'Annual Values'!F12/'Annual Values'!F$6*100</x:f>
        <x:v>122.12721705471141</x:v>
      </x:c>
      <x:c r="G12" s="91" t="n">
        <x:f>'Annual Values'!G12/'Annual Values'!G$6*100</x:f>
        <x:v>122.12991303502889</x:v>
      </x:c>
      <x:c r="H12" s="91" t="n">
        <x:f>'Annual Values'!H12/'Annual Values'!H$6*100</x:f>
        <x:v>122.12533788412911</x:v>
      </x:c>
      <x:c r="I12" s="91" t="n">
        <x:f>'Annual Values'!I12/'Annual Values'!I$6*100</x:f>
        <x:v>122.1272047033672</x:v>
      </x:c>
      <x:c r="J12" s="91" t="n">
        <x:f>'Annual Values'!J12/'Annual Values'!J$6*100</x:f>
        <x:v>122.12927579457545</x:v>
      </x:c>
      <x:c r="K12" s="91" t="n">
        <x:f>'Annual Values'!K12/'Annual Values'!K$6*100</x:f>
        <x:v>122.12921554744982</x:v>
      </x:c>
      <x:c r="L12" s="91" t="n">
        <x:f>'Annual Values'!L12/'Annual Values'!L$6*100</x:f>
        <x:v>122.33938018705759</x:v>
      </x:c>
      <x:c r="M12" s="91" t="n">
        <x:f>'Annual Values'!M12/'Annual Values'!M$6*100</x:f>
        <x:v>122.18951431796934</x:v>
      </x:c>
      <x:c r="N12" s="91" t="n">
        <x:f>'Annual Values'!N12/'Annual Values'!N$6*100</x:f>
        <x:v>125.408470939434</x:v>
      </x:c>
      <x:c r="O12" s="91" t="n">
        <x:f>'Annual Values'!O12/'Annual Values'!O$6*100</x:f>
        <x:v>127.32172179294365</x:v>
      </x:c>
      <x:c r="P12" s="91" t="n">
        <x:f>'Annual Values'!P12/'Annual Values'!P$6*100</x:f>
        <x:v>122.05147653721684</x:v>
      </x:c>
      <x:c r="Q12" s="91" t="n">
        <x:f>'Annual Values'!Q12/'Annual Values'!Q$6*100</x:f>
        <x:v>124.43616384433578</x:v>
      </x:c>
      <x:c r="R12" s="91" t="n">
        <x:f>'Annual Values'!R12/'Annual Values'!R$6*100</x:f>
        <x:v>121.45915678524375</x:v>
      </x:c>
    </x:row>
    <x:row r="13">
      <x:c r="A13" s="45" t="n">
        <x:f>'Annual Values'!A13</x:f>
        <x:v>2008</x:v>
      </x:c>
      <x:c r="B13" s="45" t="str">
        <x:f>'Annual Values'!B13</x:f>
        <x:v>Actual</x:v>
      </x:c>
      <x:c r="C13" s="91" t="n">
        <x:f>'Annual Values'!C13/'Annual Values'!C$6*100</x:f>
        <x:v>125.7882690533939</x:v>
      </x:c>
      <x:c r="D13" s="91" t="n">
        <x:f>'Annual Values'!D13/'Annual Values'!D$6*100</x:f>
        <x:v>125.78194816800715</x:v>
      </x:c>
      <x:c r="E13" s="91" t="n">
        <x:f>'Annual Values'!E13/'Annual Values'!E$6*100</x:f>
        <x:v>125.77666989798276</x:v>
      </x:c>
      <x:c r="F13" s="91" t="n">
        <x:f>'Annual Values'!F13/'Annual Values'!F$6*100</x:f>
        <x:v>125.7823482966472</x:v>
      </x:c>
      <x:c r="G13" s="91" t="n">
        <x:f>'Annual Values'!G13/'Annual Values'!G$6*100</x:f>
        <x:v>125.78341349657485</x:v>
      </x:c>
      <x:c r="H13" s="91" t="n">
        <x:f>'Annual Values'!H13/'Annual Values'!H$6*100</x:f>
        <x:v>125.78133758517171</x:v>
      </x:c>
      <x:c r="I13" s="91" t="n">
        <x:f>'Annual Values'!I13/'Annual Values'!I$6*100</x:f>
        <x:v>125.78081102934122</x:v>
      </x:c>
      <x:c r="J13" s="91" t="n">
        <x:f>'Annual Values'!J13/'Annual Values'!J$6*100</x:f>
        <x:v>125.78292478329762</x:v>
      </x:c>
      <x:c r="K13" s="91" t="n">
        <x:f>'Annual Values'!K13/'Annual Values'!K$6*100</x:f>
        <x:v>125.78754447441769</x:v>
      </x:c>
      <x:c r="L13" s="91" t="n">
        <x:f>'Annual Values'!L13/'Annual Values'!L$6*100</x:f>
        <x:v>130.45383544843807</x:v>
      </x:c>
      <x:c r="M13" s="91" t="n">
        <x:f>'Annual Values'!M13/'Annual Values'!M$6*100</x:f>
        <x:v>128.81377535536967</x:v>
      </x:c>
      <x:c r="N13" s="91" t="n">
        <x:f>'Annual Values'!N13/'Annual Values'!N$6*100</x:f>
        <x:v>132.98162825288816</x:v>
      </x:c>
      <x:c r="O13" s="91" t="n">
        <x:f>'Annual Values'!O13/'Annual Values'!O$6*100</x:f>
        <x:v>133.11899638627202</x:v>
      </x:c>
      <x:c r="P13" s="91" t="n">
        <x:f>'Annual Values'!P13/'Annual Values'!P$6*100</x:f>
        <x:v>126.62220440360612</x:v>
      </x:c>
      <x:c r="Q13" s="91" t="n">
        <x:f>'Annual Values'!Q13/'Annual Values'!Q$6*100</x:f>
        <x:v>129.03878592879124</x:v>
      </x:c>
      <x:c r="R13" s="91" t="n">
        <x:f>'Annual Values'!R13/'Annual Values'!R$6*100</x:f>
        <x:v>125.72463768115945</x:v>
      </x:c>
    </x:row>
    <x:row r="14">
      <x:c r="A14" s="45" t="n">
        <x:f>'Annual Values'!A14</x:f>
        <x:v>2009</x:v>
      </x:c>
      <x:c r="B14" s="45" t="str">
        <x:f>'Annual Values'!B14</x:f>
        <x:v>Actual</x:v>
      </x:c>
      <x:c r="C14" s="91" t="n">
        <x:f>'Annual Values'!C14/'Annual Values'!C$6*100</x:f>
        <x:v>130.21214088067504</x:v>
      </x:c>
      <x:c r="D14" s="91" t="n">
        <x:f>'Annual Values'!D14/'Annual Values'!D$6*100</x:f>
        <x:v>130.20833333333331</x:v>
      </x:c>
      <x:c r="E14" s="91" t="n">
        <x:f>'Annual Values'!E14/'Annual Values'!E$6*100</x:f>
        <x:v>130.2012648294327</x:v>
      </x:c>
      <x:c r="F14" s="91" t="n">
        <x:f>'Annual Values'!F14/'Annual Values'!F$6*100</x:f>
        <x:v>130.20779170758948</x:v>
      </x:c>
      <x:c r="G14" s="91" t="n">
        <x:f>'Annual Values'!G14/'Annual Values'!G$6*100</x:f>
        <x:v>130.20777664415618</x:v>
      </x:c>
      <x:c r="H14" s="91" t="n">
        <x:f>'Annual Values'!H14/'Annual Values'!H$6*100</x:f>
        <x:v>130.2021699323609</x:v>
      </x:c>
      <x:c r="I14" s="91" t="n">
        <x:f>'Annual Values'!I14/'Annual Values'!I$6*100</x:f>
        <x:v>130.205977881018</x:v>
      </x:c>
      <x:c r="J14" s="91" t="n">
        <x:f>'Annual Values'!J14/'Annual Values'!J$6*100</x:f>
        <x:v>130.20784788889927</x:v>
      </x:c>
      <x:c r="K14" s="91" t="n">
        <x:f>'Annual Values'!K14/'Annual Values'!K$6*100</x:f>
        <x:v>130.21034047015172</x:v>
      </x:c>
      <x:c r="L14" s="91" t="n">
        <x:f>'Annual Values'!L14/'Annual Values'!L$6*100</x:f>
        <x:v>138.13399921356674</x:v>
      </x:c>
      <x:c r="M14" s="91" t="n">
        <x:f>'Annual Values'!M14/'Annual Values'!M$6*100</x:f>
        <x:v>139.7498148800058</x:v>
      </x:c>
      <x:c r="N14" s="91" t="n">
        <x:f>'Annual Values'!N14/'Annual Values'!N$6*100</x:f>
        <x:v>141.42135983430336</x:v>
      </x:c>
      <x:c r="O14" s="91" t="n">
        <x:f>'Annual Values'!O14/'Annual Values'!O$6*100</x:f>
        <x:v>142.3167239898531</x:v>
      </x:c>
      <x:c r="P14" s="91" t="n">
        <x:f>'Annual Values'!P14/'Annual Values'!P$6*100</x:f>
        <x:v>135.55633812991218</x:v>
      </x:c>
      <x:c r="Q14" s="91" t="n">
        <x:f>'Annual Values'!Q14/'Annual Values'!Q$6*100</x:f>
        <x:v>137.5243697937259</x:v>
      </x:c>
      <x:c r="R14" s="91" t="n">
        <x:f>'Annual Values'!R14/'Annual Values'!R$6*100</x:f>
        <x:v>127.96442687747036</x:v>
      </x:c>
    </x:row>
    <x:row r="15">
      <x:c r="A15" s="45" t="n">
        <x:f>'Annual Values'!A15</x:f>
        <x:v>2010</x:v>
      </x:c>
      <x:c r="B15" s="45" t="str">
        <x:f>'Annual Values'!B15</x:f>
        <x:v>Actual</x:v>
      </x:c>
      <x:c r="C15" s="91" t="n">
        <x:f>'Annual Values'!C15/'Annual Values'!C$6*100</x:f>
        <x:v>132.51118778396474</x:v>
      </x:c>
      <x:c r="D15" s="91" t="n">
        <x:f>'Annual Values'!D15/'Annual Values'!D$6*100</x:f>
        <x:v>132.5067024128686</x:v>
      </x:c>
      <x:c r="E15" s="91" t="n">
        <x:f>'Annual Values'!E15/'Annual Values'!E$6*100</x:f>
        <x:v>132.50242348705166</x:v>
      </x:c>
      <x:c r="F15" s="91" t="n">
        <x:f>'Annual Values'!F15/'Annual Values'!F$6*100</x:f>
        <x:v>132.51102509291889</x:v>
      </x:c>
      <x:c r="G15" s="91" t="n">
        <x:f>'Annual Values'!G15/'Annual Values'!G$6*100</x:f>
        <x:v>132.50902848629127</x:v>
      </x:c>
      <x:c r="H15" s="91" t="n">
        <x:f>'Annual Values'!H15/'Annual Values'!H$6*100</x:f>
        <x:v>132.49915918235155</x:v>
      </x:c>
      <x:c r="I15" s="91" t="n">
        <x:f>'Annual Values'!I15/'Annual Values'!I$6*100</x:f>
        <x:v>132.5083254532747</x:v>
      </x:c>
      <x:c r="J15" s="91" t="n">
        <x:f>'Annual Values'!J15/'Annual Values'!J$6*100</x:f>
        <x:v>132.50885450647777</x:v>
      </x:c>
      <x:c r="K15" s="91" t="n">
        <x:f>'Annual Values'!K15/'Annual Values'!K$6*100</x:f>
        <x:v>132.510911355876</x:v>
      </x:c>
      <x:c r="L15" s="91" t="n">
        <x:f>'Annual Values'!L15/'Annual Values'!L$6*100</x:f>
        <x:v>140.03053899064378</x:v>
      </x:c>
      <x:c r="M15" s="91" t="n">
        <x:f>'Annual Values'!M15/'Annual Values'!M$6*100</x:f>
        <x:v>141.01193535029824</x:v>
      </x:c>
      <x:c r="N15" s="91" t="n">
        <x:f>'Annual Values'!N15/'Annual Values'!N$6*100</x:f>
        <x:v>141.73897607190952</x:v>
      </x:c>
      <x:c r="O15" s="91" t="n">
        <x:f>'Annual Values'!O15/'Annual Values'!O$6*100</x:f>
        <x:v>143.64022366440963</x:v>
      </x:c>
      <x:c r="P15" s="91" t="n">
        <x:f>'Annual Values'!P15/'Annual Values'!P$6*100</x:f>
        <x:v>137.47576427415632</x:v>
      </x:c>
      <x:c r="Q15" s="91" t="n">
        <x:f>'Annual Values'!Q15/'Annual Values'!Q$6*100</x:f>
        <x:v>139.91614188208553</x:v>
      </x:c>
      <x:c r="R15" s="91" t="n">
        <x:f>'Annual Values'!R15/'Annual Values'!R$6*100</x:f>
        <x:v>129.16666666666669</x:v>
      </x:c>
    </x:row>
    <x:row r="16">
      <x:c r="A16" s="45" t="n">
        <x:f>'Annual Values'!A16</x:f>
        <x:v>2011</x:v>
      </x:c>
      <x:c r="B16" s="45" t="str">
        <x:f>'Annual Values'!B16</x:f>
        <x:v>Actual</x:v>
      </x:c>
      <x:c r="C16" s="91" t="n">
        <x:f>'Annual Values'!C16/'Annual Values'!C$6*100</x:f>
        <x:v>132.51118778396474</x:v>
      </x:c>
      <x:c r="D16" s="91" t="n">
        <x:f>'Annual Values'!D16/'Annual Values'!D$6*100</x:f>
        <x:v>132.5067024128686</x:v>
      </x:c>
      <x:c r="E16" s="91" t="n">
        <x:f>'Annual Values'!E16/'Annual Values'!E$6*100</x:f>
        <x:v>132.50242348705166</x:v>
      </x:c>
      <x:c r="F16" s="91" t="n">
        <x:f>'Annual Values'!F16/'Annual Values'!F$6*100</x:f>
        <x:v>132.51102509291889</x:v>
      </x:c>
      <x:c r="G16" s="91" t="n">
        <x:f>'Annual Values'!G16/'Annual Values'!G$6*100</x:f>
        <x:v>132.50902848629127</x:v>
      </x:c>
      <x:c r="H16" s="91" t="n">
        <x:f>'Annual Values'!H16/'Annual Values'!H$6*100</x:f>
        <x:v>132.49915918235155</x:v>
      </x:c>
      <x:c r="I16" s="91" t="n">
        <x:f>'Annual Values'!I16/'Annual Values'!I$6*100</x:f>
        <x:v>132.5083254532747</x:v>
      </x:c>
      <x:c r="J16" s="91" t="n">
        <x:f>'Annual Values'!J16/'Annual Values'!J$6*100</x:f>
        <x:v>132.50885450647777</x:v>
      </x:c>
      <x:c r="K16" s="91" t="n">
        <x:f>'Annual Values'!K16/'Annual Values'!K$6*100</x:f>
        <x:v>132.510911355876</x:v>
      </x:c>
      <x:c r="L16" s="91" t="n">
        <x:f>'Annual Values'!L16/'Annual Values'!L$6*100</x:f>
        <x:v>142.6917223306142</x:v>
      </x:c>
      <x:c r="M16" s="91" t="n">
        <x:f>'Annual Values'!M16/'Annual Values'!M$6*100</x:f>
        <x:v>142.36449148987538</x:v>
      </x:c>
      <x:c r="N16" s="91" t="n">
        <x:f>'Annual Values'!N16/'Annual Values'!N$6*100</x:f>
        <x:v>146.15687975298698</x:v>
      </x:c>
      <x:c r="O16" s="91" t="n">
        <x:f>'Annual Values'!O16/'Annual Values'!O$6*100</x:f>
        <x:v>147.0892166480162</x:v>
      </x:c>
      <x:c r="P16" s="91" t="n">
        <x:f>'Annual Values'!P16/'Annual Values'!P$6*100</x:f>
        <x:v>140.2238283055941</x:v>
      </x:c>
      <x:c r="Q16" s="91" t="n">
        <x:f>'Annual Values'!Q16/'Annual Values'!Q$6*100</x:f>
        <x:v>142.57813516699122</x:v>
      </x:c>
      <x:c r="R16" s="91" t="n">
        <x:f>'Annual Values'!R16/'Annual Values'!R$6*100</x:f>
        <x:v>131.27470355731225</x:v>
      </x:c>
    </x:row>
    <x:row r="17">
      <x:c r="A17" s="45" t="n">
        <x:f>'Annual Values'!A17</x:f>
        <x:v>2012</x:v>
      </x:c>
      <x:c r="B17" s="45" t="str">
        <x:f>'Annual Values'!B17</x:f>
        <x:v>Actual</x:v>
      </x:c>
      <x:c r="C17" s="91" t="n">
        <x:f>'Annual Values'!C17/'Annual Values'!C$6*100</x:f>
        <x:v>132.51118778396474</x:v>
      </x:c>
      <x:c r="D17" s="91" t="n">
        <x:f>'Annual Values'!D17/'Annual Values'!D$6*100</x:f>
        <x:v>132.5067024128686</x:v>
      </x:c>
      <x:c r="E17" s="91" t="n">
        <x:f>'Annual Values'!E17/'Annual Values'!E$6*100</x:f>
        <x:v>132.50242348705166</x:v>
      </x:c>
      <x:c r="F17" s="91" t="n">
        <x:f>'Annual Values'!F17/'Annual Values'!F$6*100</x:f>
        <x:v>132.51102509291889</x:v>
      </x:c>
      <x:c r="G17" s="91" t="n">
        <x:f>'Annual Values'!G17/'Annual Values'!G$6*100</x:f>
        <x:v>132.50902848629127</x:v>
      </x:c>
      <x:c r="H17" s="91" t="n">
        <x:f>'Annual Values'!H17/'Annual Values'!H$6*100</x:f>
        <x:v>132.49915918235155</x:v>
      </x:c>
      <x:c r="I17" s="91" t="n">
        <x:f>'Annual Values'!I17/'Annual Values'!I$6*100</x:f>
        <x:v>132.5083254532747</x:v>
      </x:c>
      <x:c r="J17" s="91" t="n">
        <x:f>'Annual Values'!J17/'Annual Values'!J$6*100</x:f>
        <x:v>132.50885450647777</x:v>
      </x:c>
      <x:c r="K17" s="91" t="n">
        <x:f>'Annual Values'!K17/'Annual Values'!K$6*100</x:f>
        <x:v>132.510911355876</x:v>
      </x:c>
      <x:c r="L17" s="91" t="n">
        <x:f>'Annual Values'!L17/'Annual Values'!L$6*100</x:f>
        <x:v>146.06253229844722</x:v>
      </x:c>
      <x:c r="M17" s="91" t="n">
        <x:f>'Annual Values'!M17/'Annual Values'!M$6*100</x:f>
        <x:v>144.44666993071314</x:v>
      </x:c>
      <x:c r="N17" s="91" t="n">
        <x:f>'Annual Values'!N17/'Annual Values'!N$6*100</x:f>
        <x:v>149.8039546507981</x:v>
      </x:c>
      <x:c r="O17" s="91" t="n">
        <x:f>'Annual Values'!O17/'Annual Values'!O$6*100</x:f>
        <x:v>150.25245653415743</x:v>
      </x:c>
      <x:c r="P17" s="91" t="n">
        <x:f>'Annual Values'!P17/'Annual Values'!P$6*100</x:f>
        <x:v>142.94343070966255</x:v>
      </x:c>
      <x:c r="Q17" s="91" t="n">
        <x:f>'Annual Values'!Q17/'Annual Values'!Q$6*100</x:f>
        <x:v>145.26284054191729</x:v>
      </x:c>
      <x:c r="R17" s="91" t="n">
        <x:f>'Annual Values'!R17/'Annual Values'!R$6*100</x:f>
        <x:v>133.72859025032938</x:v>
      </x:c>
    </x:row>
    <x:row r="18">
      <x:c r="A18" s="45" t="n">
        <x:f>'Annual Values'!A18</x:f>
        <x:v>2013</x:v>
      </x:c>
      <x:c r="B18" s="45" t="str">
        <x:f>'Annual Values'!B18</x:f>
        <x:v>Actual</x:v>
      </x:c>
      <x:c r="C18" s="91" t="n">
        <x:f>'Annual Values'!C18/'Annual Values'!C$6*100</x:f>
        <x:v>129.43885177687687</x:v>
      </x:c>
      <x:c r="D18" s="91" t="n">
        <x:f>'Annual Values'!D18/'Annual Values'!D$6*100</x:f>
        <x:v>129.43447040127995</x:v>
      </x:c>
      <x:c r="E18" s="91" t="n">
        <x:f>'Annual Values'!E18/'Annual Values'!E$6*100</x:f>
        <x:v>129.43029068442848</x:v>
      </x:c>
      <x:c r="F18" s="91" t="n">
        <x:f>'Annual Values'!F18/'Annual Values'!F$6*100</x:f>
        <x:v>129.43869285790163</x:v>
      </x:c>
      <x:c r="G18" s="91" t="n">
        <x:f>'Annual Values'!G18/'Annual Values'!G$6*100</x:f>
        <x:v>129.43674254356475</x:v>
      </x:c>
      <x:c r="H18" s="91" t="n">
        <x:f>'Annual Values'!H18/'Annual Values'!H$6*100</x:f>
        <x:v>129.42710206421236</x:v>
      </x:c>
      <x:c r="I18" s="91" t="n">
        <x:f>'Annual Values'!I18/'Annual Values'!I$6*100</x:f>
        <x:v>129.43605581070884</x:v>
      </x:c>
      <x:c r="J18" s="91" t="n">
        <x:f>'Annual Values'!J18/'Annual Values'!J$6*100</x:f>
        <x:v>129.43657259755742</x:v>
      </x:c>
      <x:c r="K18" s="91" t="n">
        <x:f>'Annual Values'!K18/'Annual Values'!K$6*100</x:f>
        <x:v>129.4385817579071</x:v>
      </x:c>
      <x:c r="L18" s="91" t="n">
        <x:f>'Annual Values'!L18/'Annual Values'!L$6*100</x:f>
        <x:v>149.36354840029284</x:v>
      </x:c>
      <x:c r="M18" s="91" t="n">
        <x:f>'Annual Values'!M18/'Annual Values'!M$6*100</x:f>
        <x:v>151.7563807388884</x:v>
      </x:c>
      <x:c r="N18" s="91" t="n">
        <x:f>'Annual Values'!N18/'Annual Values'!N$6*100</x:f>
        <x:v>151.29463421602043</x:v>
      </x:c>
      <x:c r="O18" s="91" t="n">
        <x:f>'Annual Values'!O18/'Annual Values'!O$6*100</x:f>
        <x:v>151.7970630882485</x:v>
      </x:c>
      <x:c r="P18" s="91" t="n">
        <x:f>'Annual Values'!P18/'Annual Values'!P$6*100</x:f>
        <x:v>144.52543487055019</x:v>
      </x:c>
      <x:c r="Q18" s="91" t="n">
        <x:f>'Annual Values'!Q18/'Annual Values'!Q$6*100</x:f>
        <x:v>147.04711844618322</x:v>
      </x:c>
      <x:c r="R18" s="91" t="n">
        <x:f>'Annual Values'!R18/'Annual Values'!R$6*100</x:f>
        <x:v>135.45783926218712</x:v>
      </x:c>
    </x:row>
    <x:row r="19">
      <x:c r="A19" s="45" t="n">
        <x:f>'Annual Values'!A19</x:f>
        <x:v>2014</x:v>
      </x:c>
      <x:c r="B19" s="45" t="str">
        <x:f>'Annual Values'!B19</x:f>
        <x:v>Actual</x:v>
      </x:c>
      <x:c r="C19" s="91" t="n">
        <x:f>'Annual Values'!C19/'Annual Values'!C$6*100</x:f>
        <x:v>128.98295853384656</x:v>
      </x:c>
      <x:c r="D19" s="91" t="n">
        <x:f>'Annual Values'!D19/'Annual Values'!D$6*100</x:f>
        <x:v>128.97637084162125</x:v>
      </x:c>
      <x:c r="E19" s="91" t="n">
        <x:f>'Annual Values'!E19/'Annual Values'!E$6*100</x:f>
        <x:v>128.97062852820252</x:v>
      </x:c>
      <x:c r="F19" s="91" t="n">
        <x:f>'Annual Values'!F19/'Annual Values'!F$6*100</x:f>
        <x:v>128.97901178888227</x:v>
      </x:c>
      <x:c r="G19" s="91" t="n">
        <x:f>'Annual Values'!G19/'Annual Values'!G$6*100</x:f>
        <x:v>128.97843715896664</x:v>
      </x:c>
      <x:c r="H19" s="91" t="n">
        <x:f>'Annual Values'!H19/'Annual Values'!H$6*100</x:f>
        <x:v>128.96920176368783</x:v>
      </x:c>
      <x:c r="I19" s="91" t="n">
        <x:f>'Annual Values'!I19/'Annual Values'!I$6*100</x:f>
        <x:v>128.97668320484306</x:v>
      </x:c>
      <x:c r="J19" s="91" t="n">
        <x:f>'Annual Values'!J19/'Annual Values'!J$6*100</x:f>
        <x:v>128.97667311086323</x:v>
      </x:c>
      <x:c r="K19" s="91" t="n">
        <x:f>'Annual Values'!K19/'Annual Values'!K$6*100</x:f>
        <x:v>128.97684844020446</x:v>
      </x:c>
      <x:c r="L19" s="91" t="n">
        <x:f>'Annual Values'!L19/'Annual Values'!L$6*100</x:f>
        <x:v>151.83071147165708</x:v>
      </x:c>
      <x:c r="M19" s="91" t="n">
        <x:f>'Annual Values'!M19/'Annual Values'!M$6*100</x:f>
        <x:v>151.05245268818507</x:v>
      </x:c>
      <x:c r="N19" s="91" t="n">
        <x:f>'Annual Values'!N19/'Annual Values'!N$6*100</x:f>
        <x:v>153.79245277159887</x:v>
      </x:c>
      <x:c r="O19" s="91" t="n">
        <x:f>'Annual Values'!O19/'Annual Values'!O$6*100</x:f>
        <x:v>153.00618187755455</x:v>
      </x:c>
      <x:c r="P19" s="91" t="n">
        <x:f>'Annual Values'!P19/'Annual Values'!P$6*100</x:f>
        <x:v>145.05244452149796</x:v>
      </x:c>
      <x:c r="Q19" s="91" t="n">
        <x:f>'Annual Values'!Q19/'Annual Values'!Q$6*100</x:f>
        <x:v>147.6811358895641</x:v>
      </x:c>
      <x:c r="R19" s="91" t="n">
        <x:f>'Annual Values'!R19/'Annual Values'!R$6*100</x:f>
        <x:v>139.78919631093544</x:v>
      </x:c>
    </x:row>
    <x:row r="20">
      <x:c r="A20" s="45" t="n">
        <x:f>'Annual Values'!A20</x:f>
        <x:v>2015</x:v>
      </x:c>
      <x:c r="B20" s="45" t="str">
        <x:f>'Annual Values'!B20</x:f>
        <x:v>Actual</x:v>
      </x:c>
      <x:c r="C20" s="91" t="n">
        <x:f>'Annual Values'!C20/'Annual Values'!C$6*100</x:f>
        <x:v>130.27018732444188</x:v>
      </x:c>
      <x:c r="D20" s="91" t="n">
        <x:f>'Annual Values'!D20/'Annual Values'!D$6*100</x:f>
        <x:v>130.2682068703335</x:v>
      </x:c>
      <x:c r="E20" s="91" t="n">
        <x:f>'Annual Values'!E20/'Annual Values'!E$6*100</x:f>
        <x:v>130.2607351914145</x:v>
      </x:c>
      <x:c r="F20" s="91" t="n">
        <x:f>'Annual Values'!F20/'Annual Values'!F$6*100</x:f>
        <x:v>130.26885758356798</x:v>
      </x:c>
      <x:c r="G20" s="91" t="n">
        <x:f>'Annual Values'!G20/'Annual Values'!G$6*100</x:f>
        <x:v>130.26756604129412</x:v>
      </x:c>
      <x:c r="H20" s="91" t="n">
        <x:f>'Annual Values'!H20/'Annual Values'!H$6*100</x:f>
        <x:v>130.25728517762047</x:v>
      </x:c>
      <x:c r="I20" s="91" t="n">
        <x:f>'Annual Values'!I20/'Annual Values'!I$6*100</x:f>
        <x:v>130.26569723156854</x:v>
      </x:c>
      <x:c r="J20" s="91" t="n">
        <x:f>'Annual Values'!J20/'Annual Values'!J$6*100</x:f>
        <x:v>130.2667542220512</x:v>
      </x:c>
      <x:c r="K20" s="91" t="n">
        <x:f>'Annual Values'!K20/'Annual Values'!K$6*100</x:f>
        <x:v>130.26978665289008</x:v>
      </x:c>
      <x:c r="L20" s="91" t="n">
        <x:f>'Annual Values'!L20/'Annual Values'!L$6*100</x:f>
        <x:v>148.44278697926973</x:v>
      </x:c>
      <x:c r="M20" s="91" t="n">
        <x:f>'Annual Values'!M20/'Annual Values'!M$6*100</x:f>
        <x:v>149.66516547501988</x:v>
      </x:c>
      <x:c r="N20" s="91" t="n">
        <x:f>'Annual Values'!N20/'Annual Values'!N$6*100</x:f>
        <x:v>152.27848376415352</x:v>
      </x:c>
      <x:c r="O20" s="91" t="n">
        <x:f>'Annual Values'!O20/'Annual Values'!O$6*100</x:f>
        <x:v>152.77653514856024</x:v>
      </x:c>
      <x:c r="P20" s="91" t="n">
        <x:f>'Annual Values'!P20/'Annual Values'!P$6*100</x:f>
        <x:v>145.5469833564494</x:v>
      </x:c>
      <x:c r="Q20" s="91" t="n">
        <x:f>'Annual Values'!Q20/'Annual Values'!Q$6*100</x:f>
        <x:v>148.3337753876548</x:v>
      </x:c>
      <x:c r="R20" s="91" t="n">
        <x:f>'Annual Values'!R20/'Annual Values'!R$6*100</x:f>
        <x:v>144.72990777338606</x:v>
      </x:c>
    </x:row>
    <x:row r="21">
      <x:c r="A21" s="45" t="n">
        <x:f>'Annual Values'!A21</x:f>
        <x:v>2016</x:v>
      </x:c>
      <x:c r="B21" s="45" t="str">
        <x:f>'Annual Values'!B21</x:f>
        <x:v>Actual</x:v>
      </x:c>
      <x:c r="C21" s="91" t="n">
        <x:f>'Annual Values'!C21/'Annual Values'!C$6*100</x:f>
        <x:v>131.79445057264041</x:v>
      </x:c>
      <x:c r="D21" s="91" t="n">
        <x:f>'Annual Values'!D21/'Annual Values'!D$6*100</x:f>
        <x:v>131.78880552913026</x:v>
      </x:c>
      <x:c r="E21" s="91" t="n">
        <x:f>'Annual Values'!E21/'Annual Values'!E$6*100</x:f>
        <x:v>131.7821713252714</x:v>
      </x:c>
      <x:c r="F21" s="91" t="n">
        <x:f>'Annual Values'!F21/'Annual Values'!F$6*100</x:f>
        <x:v>131.79069003197415</x:v>
      </x:c>
      <x:c r="G21" s="91" t="n">
        <x:f>'Annual Values'!G21/'Annual Values'!G$6*100</x:f>
        <x:v>131.7892375428308</x:v>
      </x:c>
      <x:c r="H21" s="91" t="n">
        <x:f>'Annual Values'!H21/'Annual Values'!H$6*100</x:f>
        <x:v>131.78665914719193</x:v>
      </x:c>
      <x:c r="I21" s="91" t="n">
        <x:f>'Annual Values'!I21/'Annual Values'!I$6*100</x:f>
        <x:v>131.7871564106543</x:v>
      </x:c>
      <x:c r="J21" s="91" t="n">
        <x:f>'Annual Values'!J21/'Annual Values'!J$6*100</x:f>
        <x:v>131.78812924873495</x:v>
      </x:c>
      <x:c r="K21" s="91" t="n">
        <x:f>'Annual Values'!K21/'Annual Values'!K$6*100</x:f>
        <x:v>131.79246538967354</x:v>
      </x:c>
      <x:c r="L21" s="91" t="n">
        <x:f>'Annual Values'!L21/'Annual Values'!L$6*100</x:f>
        <x:v>155.07854731915583</x:v>
      </x:c>
      <x:c r="M21" s="91" t="n">
        <x:f>'Annual Values'!M21/'Annual Values'!M$6*100</x:f>
        <x:v>155.03762420573744</x:v>
      </x:c>
      <x:c r="N21" s="91" t="n">
        <x:f>'Annual Values'!N21/'Annual Values'!N$6*100</x:f>
        <x:v>155.50557238720918</x:v>
      </x:c>
      <x:c r="O21" s="91" t="n">
        <x:f>'Annual Values'!O21/'Annual Values'!O$6*100</x:f>
        <x:v>156.26937782550658</x:v>
      </x:c>
      <x:c r="P21" s="91" t="n">
        <x:f>'Annual Values'!P21/'Annual Values'!P$6*100</x:f>
        <x:v>148.97675392972727</x:v>
      </x:c>
      <x:c r="Q21" s="91" t="n">
        <x:f>'Annual Values'!Q21/'Annual Values'!Q$6*100</x:f>
        <x:v>151.53047881919446</x:v>
      </x:c>
      <x:c r="R21" s="91" t="n">
        <x:f>'Annual Values'!R21/'Annual Values'!R$6*100</x:f>
        <x:v>148.55072463768116</x:v>
      </x:c>
    </x:row>
    <x:row r="22">
      <x:c r="A22" s="45" t="n">
        <x:f>'Annual Values'!A22</x:f>
        <x:v>2017</x:v>
      </x:c>
      <x:c r="B22" s="45" t="str">
        <x:f>'Annual Values'!B22</x:f>
        <x:v>Actual</x:v>
      </x:c>
      <x:c r="C22" s="91" t="n">
        <x:f>'Annual Values'!C22/'Annual Values'!C$6*100</x:f>
        <x:v>133.93763712680297</x:v>
      </x:c>
      <x:c r="D22" s="91" t="n">
        <x:f>'Annual Values'!D22/'Annual Values'!D$6*100</x:f>
        <x:v>133.9337916018046</x:v>
      </x:c>
      <x:c r="E22" s="91" t="n">
        <x:f>'Annual Values'!E22/'Annual Values'!E$6*100</x:f>
        <x:v>133.92641757240307</x:v>
      </x:c>
      <x:c r="F22" s="91" t="n">
        <x:f>'Annual Values'!F22/'Annual Values'!F$6*100</x:f>
        <x:v>133.93610260558088</x:v>
      </x:c>
      <x:c r="G22" s="91" t="n">
        <x:f>'Annual Values'!G22/'Annual Values'!G$6*100</x:f>
        <x:v>133.9320631547383</x:v>
      </x:c>
      <x:c r="H22" s="91" t="n">
        <x:f>'Annual Values'!H22/'Annual Values'!H$6*100</x:f>
        <x:v>133.92226063217433</x:v>
      </x:c>
      <x:c r="I22" s="91" t="n">
        <x:f>'Annual Values'!I22/'Annual Values'!I$6*100</x:f>
        <x:v>133.9319912256155</x:v>
      </x:c>
      <x:c r="J22" s="91" t="n">
        <x:f>'Annual Values'!J22/'Annual Values'!J$6*100</x:f>
        <x:v>133.93152771806288</x:v>
      </x:c>
      <x:c r="K22" s="91" t="n">
        <x:f>'Annual Values'!K22/'Annual Values'!K$6*100</x:f>
        <x:v>133.934407118104</x:v>
      </x:c>
      <x:c r="L22" s="91" t="n">
        <x:f>'Annual Values'!L22/'Annual Values'!L$6*100</x:f>
        <x:v>158.11207592504005</x:v>
      </x:c>
      <x:c r="M22" s="91" t="n">
        <x:f>'Annual Values'!M22/'Annual Values'!M$6*100</x:f>
        <x:v>157.79864339752172</x:v>
      </x:c>
      <x:c r="N22" s="91" t="n">
        <x:f>'Annual Values'!N22/'Annual Values'!N$6*100</x:f>
        <x:v>159.09711490389742</x:v>
      </x:c>
      <x:c r="O22" s="91" t="n">
        <x:f>'Annual Values'!O22/'Annual Values'!O$6*100</x:f>
        <x:v>160.37222239183927</x:v>
      </x:c>
      <x:c r="P22" s="91" t="n">
        <x:f>'Annual Values'!P22/'Annual Values'!P$6*100</x:f>
        <x:v>153.01509044151643</x:v>
      </x:c>
      <x:c r="Q22" s="91" t="n">
        <x:f>'Annual Values'!Q22/'Annual Values'!Q$6*100</x:f>
        <x:v>155.53434452226526</x:v>
      </x:c>
      <x:c r="R22" s="91" t="n">
        <x:f>'Annual Values'!R22/'Annual Values'!R$6*100</x:f>
        <x:v>153.2114624505929</x:v>
      </x:c>
    </x:row>
    <x:row r="23">
      <x:c r="A23" s="45" t="n">
        <x:f>'Annual Values'!A23</x:f>
        <x:v>2018</x:v>
      </x:c>
      <x:c r="B23" s="45" t="str">
        <x:f>'Annual Values'!B23</x:f>
        <x:v>Actual</x:v>
      </x:c>
      <x:c r="C23" s="91" t="n">
        <x:f>'Annual Values'!C23/'Annual Values'!C$6*100</x:f>
        <x:v>136.17958803830018</x:v>
      </x:c>
      <x:c r="D23" s="91" t="n">
        <x:f>'Annual Values'!D23/'Annual Values'!D$6*100</x:f>
        <x:v>136.17566537663234</x:v>
      </x:c>
      <x:c r="E23" s="91" t="n">
        <x:f>'Annual Values'!E23/'Annual Values'!E$6*100</x:f>
        <x:v>136.16853398019217</x:v>
      </x:c>
      <x:c r="F23" s="91" t="n">
        <x:f>'Annual Values'!F23/'Annual Values'!F$6*100</x:f>
        <x:v>136.17616573390558</x:v>
      </x:c>
      <x:c r="G23" s="91" t="n">
        <x:f>'Annual Values'!G23/'Annual Values'!G$6*100</x:f>
        <x:v>136.17321215597588</x:v>
      </x:c>
      <x:c r="H23" s="91" t="n">
        <x:f>'Annual Values'!H23/'Annual Values'!H$6*100</x:f>
        <x:v>136.16470221393215</x:v>
      </x:c>
      <x:c r="I23" s="91" t="n">
        <x:f>'Annual Values'!I23/'Annual Values'!I$6*100</x:f>
        <x:v>136.17323795036248</x:v>
      </x:c>
      <x:c r="J23" s="91" t="n">
        <x:f>'Annual Values'!J23/'Annual Values'!J$6*100</x:f>
        <x:v>136.17148578318034</x:v>
      </x:c>
      <x:c r="K23" s="91" t="n">
        <x:f>'Annual Values'!K23/'Annual Values'!K$6*100</x:f>
        <x:v>136.1713543264245</x:v>
      </x:c>
      <x:c r="L23" s="91" t="n">
        <x:f>'Annual Values'!L23/'Annual Values'!L$6*100</x:f>
        <x:v>163.89853841960303</x:v>
      </x:c>
      <x:c r="M23" s="91" t="n">
        <x:f>'Annual Values'!M23/'Annual Values'!M$6*100</x:f>
        <x:v>161.7575137137161</x:v>
      </x:c>
      <x:c r="N23" s="91" t="n">
        <x:f>'Annual Values'!N23/'Annual Values'!N$6*100</x:f>
        <x:v>164.42165069355954</x:v>
      </x:c>
      <x:c r="O23" s="91" t="n">
        <x:f>'Annual Values'!O23/'Annual Values'!O$6*100</x:f>
        <x:v>165.69732738110253</x:v>
      </x:c>
      <x:c r="P23" s="91" t="n">
        <x:f>'Annual Values'!P23/'Annual Values'!P$6*100</x:f>
        <x:v>158.01039499537683</x:v>
      </x:c>
      <x:c r="Q23" s="91" t="n">
        <x:f>'Annual Values'!Q23/'Annual Values'!Q$6*100</x:f>
        <x:v>160.44616707918186</x:v>
      </x:c>
      <x:c r="R23" s="91" t="n">
        <x:f>'Annual Values'!R23/'Annual Values'!R$6*100</x:f>
        <x:v>157.19696969696972</x:v>
      </x:c>
    </x:row>
    <x:row r="24">
      <x:c r="A24" s="45" t="n">
        <x:f>'Annual Values'!A24</x:f>
        <x:v>2019</x:v>
      </x:c>
      <x:c r="B24" s="45" t="str">
        <x:f>'Annual Values'!B24</x:f>
        <x:v>Actual</x:v>
      </x:c>
      <x:c r="C24" s="91" t="n">
        <x:f>'Annual Values'!C24/'Annual Values'!C$6*100</x:f>
        <x:v>138.44458396650882</x:v>
      </x:c>
      <x:c r="D24" s="91" t="n">
        <x:f>'Annual Values'!D24/'Annual Values'!D$6*100</x:f>
        <x:v>138.44176107699846</x:v>
      </x:c>
      <x:c r="E24" s="91" t="n">
        <x:f>'Annual Values'!E24/'Annual Values'!E$6*100</x:f>
        <x:v>138.43289360631252</x:v>
      </x:c>
      <x:c r="F24" s="91" t="n">
        <x:f>'Annual Values'!F24/'Annual Values'!F$6*100</x:f>
        <x:v>138.44221136744696</x:v>
      </x:c>
      <x:c r="G24" s="91" t="n">
        <x:f>'Annual Values'!G24/'Annual Values'!G$6*100</x:f>
        <x:v>138.43933217672583</x:v>
      </x:c>
      <x:c r="H24" s="91" t="n">
        <x:f>'Annual Values'!H24/'Annual Values'!H$6*100</x:f>
        <x:v>138.42755145462456</x:v>
      </x:c>
      <x:c r="I24" s="91" t="n">
        <x:f>'Annual Values'!I24/'Annual Values'!I$6*100</x:f>
        <x:v>138.43825747478272</x:v>
      </x:c>
      <x:c r="J24" s="91" t="n">
        <x:f>'Annual Values'!J24/'Annual Values'!J$6*100</x:f>
        <x:v>138.4372679262415</x:v>
      </x:c>
      <x:c r="K24" s="91" t="n">
        <x:f>'Annual Values'!K24/'Annual Values'!K$6*100</x:f>
        <x:v>138.43680317871204</x:v>
      </x:c>
      <x:c r="L24" s="91" t="n">
        <x:f>'Annual Values'!L24/'Annual Values'!L$6*100</x:f>
        <x:v>170.03246750536186</x:v>
      </x:c>
      <x:c r="M24" s="91" t="n">
        <x:f>'Annual Values'!M24/'Annual Values'!M$6*100</x:f>
        <x:v>167.07177260655692</x:v>
      </x:c>
      <x:c r="N24" s="91" t="n">
        <x:f>'Annual Values'!N24/'Annual Values'!N$6*100</x:f>
        <x:v>168.39296638143136</x:v>
      </x:c>
      <x:c r="O24" s="91" t="n">
        <x:f>'Annual Values'!O24/'Annual Values'!O$6*100</x:f>
        <x:v>169.12596631936475</x:v>
      </x:c>
      <x:c r="P24" s="91" t="n">
        <x:f>'Annual Values'!P24/'Annual Values'!P$6*100</x:f>
        <x:v>161.07915799815072</x:v>
      </x:c>
      <x:c r="Q24" s="91" t="n">
        <x:f>'Annual Values'!Q24/'Annual Values'!Q$6*100</x:f>
        <x:v>163.67394858205913</x:v>
      </x:c>
      <x:c r="R24" s="91" t="n">
        <x:f>'Annual Values'!R24/'Annual Values'!R$6*100</x:f>
        <x:v>159.8320158102767</x:v>
      </x:c>
    </x:row>
    <x:row r="25">
      <x:c r="A25" s="45" t="n">
        <x:f>'Annual Values'!A25</x:f>
        <x:v>2020</x:v>
      </x:c>
      <x:c r="B25" s="45" t="str">
        <x:f>'Annual Values'!B25</x:f>
        <x:v>Actual</x:v>
      </x:c>
      <x:c r="C25" s="91" t="n">
        <x:f>'Annual Values'!C25/'Annual Values'!C$6*100</x:f>
        <x:v>142.38857396940702</x:v>
      </x:c>
      <x:c r="D25" s="91" t="n">
        <x:f>'Annual Values'!D25/'Annual Values'!D$6*100</x:f>
        <x:v>142.3845522896307</x:v>
      </x:c>
      <x:c r="E25" s="91" t="n">
        <x:f>'Annual Values'!E25/'Annual Values'!E$6*100</x:f>
        <x:v>142.3766162164416</x:v>
      </x:c>
      <x:c r="F25" s="91" t="n">
        <x:f>'Annual Values'!F25/'Annual Values'!F$6*100</x:f>
        <x:v>142.38598448069467</x:v>
      </x:c>
      <x:c r="G25" s="91" t="n">
        <x:f>'Annual Values'!G25/'Annual Values'!G$6*100</x:f>
        <x:v>142.38319257096498</x:v>
      </x:c>
      <x:c r="H25" s="91" t="n">
        <x:f>'Annual Values'!H25/'Annual Values'!H$6*100</x:f>
        <x:v>142.37703368373764</x:v>
      </x:c>
      <x:c r="I25" s="91" t="n">
        <x:f>'Annual Values'!I25/'Annual Values'!I$6*100</x:f>
        <x:v>142.38190079835053</x:v>
      </x:c>
      <x:c r="J25" s="91" t="n">
        <x:f>'Annual Values'!J25/'Annual Values'!J$6*100</x:f>
        <x:v>142.38049234964626</x:v>
      </x:c>
      <x:c r="K25" s="91" t="n">
        <x:f>'Annual Values'!K25/'Annual Values'!K$6*100</x:f>
        <x:v>142.38557639741532</x:v>
      </x:c>
      <x:c r="L25" s="91" t="n">
        <x:f>'Annual Values'!L25/'Annual Values'!L$6*100</x:f>
        <x:v>180.3544459777945</x:v>
      </x:c>
      <x:c r="M25" s="91" t="n">
        <x:f>'Annual Values'!M25/'Annual Values'!M$6*100</x:f>
        <x:v>175.109756936436</x:v>
      </x:c>
      <x:c r="N25" s="91" t="n">
        <x:f>'Annual Values'!N25/'Annual Values'!N$6*100</x:f>
        <x:v>173.02409784463975</x:v>
      </x:c>
      <x:c r="O25" s="91" t="n">
        <x:f>'Annual Values'!O25/'Annual Values'!O$6*100</x:f>
        <x:v>174.2437255336632</x:v>
      </x:c>
      <x:c r="P25" s="91" t="n">
        <x:f>'Annual Values'!P25/'Annual Values'!P$6*100</x:f>
        <x:v>166.13264996532595</x:v>
      </x:c>
      <x:c r="Q25" s="91" t="n">
        <x:f>'Annual Values'!Q25/'Annual Values'!Q$6*100</x:f>
        <x:v>168.79222496681496</x:v>
      </x:c>
      <x:c r="R25" s="91" t="n">
        <x:f>'Annual Values'!R25/'Annual Values'!R$6*100</x:f>
        <x:v>165.85968379446643</x:v>
      </x:c>
    </x:row>
    <x:row r="26">
      <x:c r="A26" s="45" t="n">
        <x:f>'Annual Values'!A26</x:f>
        <x:v>2021</x:v>
      </x:c>
      <x:c r="B26" s="45" t="str">
        <x:f>'Annual Values'!B26</x:f>
        <x:v>Actual</x:v>
      </x:c>
      <x:c r="C26" s="91" t="n">
        <x:f>'Annual Values'!C26/'Annual Values'!C$6*100</x:f>
        <x:v>143.8107807150264</x:v>
      </x:c>
      <x:c r="D26" s="91" t="n">
        <x:f>'Annual Values'!D26/'Annual Values'!D$6*100</x:f>
        <x:v>143.8055719212142</x:v>
      </x:c>
      <x:c r="E26" s="91" t="n">
        <x:f>'Annual Values'!E26/'Annual Values'!E$6*100</x:f>
        <x:v>143.80018218964102</x:v>
      </x:c>
      <x:c r="F26" s="91" t="n">
        <x:f>'Annual Values'!F26/'Annual Values'!F$6*100</x:f>
        <x:v>143.80945458792334</x:v>
      </x:c>
      <x:c r="G26" s="91" t="n">
        <x:f>'Annual Values'!G26/'Annual Values'!G$6*100</x:f>
        <x:v>143.80654068317156</x:v>
      </x:c>
      <x:c r="H26" s="91" t="n">
        <x:f>'Annual Values'!H26/'Annual Values'!H$6*100</x:f>
        <x:v>143.7983671060081</x:v>
      </x:c>
      <x:c r="I26" s="91" t="n">
        <x:f>'Annual Values'!I26/'Annual Values'!I$6*100</x:f>
        <x:v>143.80562735655752</x:v>
      </x:c>
      <x:c r="J26" s="91" t="n">
        <x:f>'Annual Values'!J26/'Annual Values'!J$6*100</x:f>
        <x:v>143.80418499454296</x:v>
      </x:c>
      <x:c r="K26" s="91" t="n">
        <x:f>'Annual Values'!K26/'Annual Values'!K$6*100</x:f>
        <x:v>143.80547647868133</x:v>
      </x:c>
      <x:c r="L26" s="91" t="n">
        <x:f>'Annual Values'!L26/'Annual Values'!L$6*100</x:f>
        <x:v>188.47282505699974</x:v>
      </x:c>
      <x:c r="M26" s="91" t="n">
        <x:f>'Annual Values'!M26/'Annual Values'!M$6*100</x:f>
        <x:v>180.34821441818366</x:v>
      </x:c>
      <x:c r="N26" s="91" t="n">
        <x:f>'Annual Values'!N26/'Annual Values'!N$6*100</x:f>
        <x:v>180.3975870067684</x:v>
      </x:c>
      <x:c r="O26" s="91" t="n">
        <x:f>'Annual Values'!O26/'Annual Values'!O$6*100</x:f>
        <x:v>181.36905733778826</x:v>
      </x:c>
      <x:c r="P26" s="91" t="n">
        <x:f>'Annual Values'!P26/'Annual Values'!P$6*100</x:f>
        <x:v>172.71653230466947</x:v>
      </x:c>
      <x:c r="Q26" s="91" t="n">
        <x:f>'Annual Values'!Q26/'Annual Values'!Q$6*100</x:f>
        <x:v>175.22337170116967</x:v>
      </x:c>
      <x:c r="R26" s="91" t="n">
        <x:f>'Annual Values'!R26/'Annual Values'!R$6*100</x:f>
        <x:v>172.77667984189725</x:v>
      </x:c>
    </x:row>
    <x:row r="27">
      <x:c r="A27" s="45" t="n">
        <x:f>'Annual Values'!A27</x:f>
        <x:v>2022</x:v>
      </x:c>
      <x:c r="B27" s="45" t="str">
        <x:f>'Annual Values'!B27</x:f>
        <x:v>Actual</x:v>
      </x:c>
      <x:c r="C27" s="91" t="n">
        <x:f>'Annual Values'!C27/'Annual Values'!C$6*100</x:f>
        <x:v>147.2905782384516</x:v>
      </x:c>
      <x:c r="D27" s="91" t="n">
        <x:f>'Annual Values'!D27/'Annual Values'!D$6*100</x:f>
        <x:v>147.2881465486177</x:v>
      </x:c>
      <x:c r="E27" s="91" t="n">
        <x:f>'Annual Values'!E27/'Annual Values'!E$6*100</x:f>
        <x:v>147.28124585848025</x:v>
      </x:c>
      <x:c r="F27" s="91" t="n">
        <x:f>'Annual Values'!F27/'Annual Values'!F$6*100</x:f>
        <x:v>147.28925439373012</x:v>
      </x:c>
      <x:c r="G27" s="91" t="n">
        <x:f>'Annual Values'!G27/'Annual Values'!G$6*100</x:f>
        <x:v>147.28687652771183</x:v>
      </x:c>
      <x:c r="H27" s="91" t="n">
        <x:f>'Annual Values'!H27/'Annual Values'!H$6*100</x:f>
        <x:v>147.27487182804805</x:v>
      </x:c>
      <x:c r="I27" s="91" t="n">
        <x:f>'Annual Values'!I27/'Annual Values'!I$6*100</x:f>
        <x:v>147.2870217975906</x:v>
      </x:c>
      <x:c r="J27" s="91" t="n">
        <x:f>'Annual Values'!J27/'Annual Values'!J$6*100</x:f>
        <x:v>147.28482158695607</x:v>
      </x:c>
      <x:c r="K27" s="91" t="n">
        <x:f>'Annual Values'!K27/'Annual Values'!K$6*100</x:f>
        <x:v>147.28613178738087</x:v>
      </x:c>
      <x:c r="L27" s="91" t="n">
        <x:f>'Annual Values'!L27/'Annual Values'!L$6*100</x:f>
        <x:v>196.2987544800399</x:v>
      </x:c>
      <x:c r="M27" s="91" t="n">
        <x:f>'Annual Values'!M27/'Annual Values'!M$6*100</x:f>
        <x:v>189.4426977749183</x:v>
      </x:c>
      <x:c r="N27" s="91" t="n">
        <x:f>'Annual Values'!N27/'Annual Values'!N$6*100</x:f>
        <x:v>186.99683160077134</x:v>
      </x:c>
      <x:c r="O27" s="91" t="n">
        <x:f>'Annual Values'!O27/'Annual Values'!O$6*100</x:f>
        <x:v>188.64868165520875</x:v>
      </x:c>
      <x:c r="P27" s="91" t="n">
        <x:f>'Annual Values'!P27/'Annual Values'!P$6*100</x:f>
        <x:v>179.8632541608877</x:v>
      </x:c>
      <x:c r="Q27" s="91" t="n">
        <x:f>'Annual Values'!Q27/'Annual Values'!Q$6*100</x:f>
        <x:v>182.0793553608589</x:v>
      </x:c>
      <x:c r="R27" s="91" t="n">
        <x:f>'Annual Values'!R27/'Annual Values'!R$6*100</x:f>
        <x:v>182.69104084321478</x:v>
      </x:c>
    </x:row>
    <x:row r="28">
      <x:c r="A28" s="45" t="n">
        <x:f>'Annual Values'!A28</x:f>
        <x:v>2023</x:v>
      </x:c>
      <x:c r="B28" s="45" t="str">
        <x:f>'Annual Values'!B28</x:f>
        <x:v>Actual</x:v>
      </x:c>
      <x:c r="C28" s="91" t="n">
        <x:f>'Annual Values'!C28/'Annual Values'!C$6*100</x:f>
        <x:v>153.7300143366727</x:v>
      </x:c>
      <x:c r="D28" s="91" t="n">
        <x:f>'Annual Values'!D28/'Annual Values'!D$6*100</x:f>
        <x:v>153.72310476664072</x:v>
      </x:c>
      <x:c r="E28" s="91" t="n">
        <x:f>'Annual Values'!E28/'Annual Values'!E$6*100</x:f>
        <x:v>153.71620892170833</x:v>
      </x:c>
      <x:c r="F28" s="91" t="n">
        <x:f>'Annual Values'!F28/'Annual Values'!F$6*100</x:f>
        <x:v>153.72363622132062</x:v>
      </x:c>
      <x:c r="G28" s="91" t="n">
        <x:f>'Annual Values'!G28/'Annual Values'!G$6*100</x:f>
        <x:v>153.72159611831248</x:v>
      </x:c>
      <x:c r="H28" s="91" t="n">
        <x:f>'Annual Values'!H28/'Annual Values'!H$6*100</x:f>
        <x:v>153.70928664508335</x:v>
      </x:c>
      <x:c r="I28" s="91" t="n">
        <x:f>'Annual Values'!I28/'Annual Values'!I$6*100</x:f>
        <x:v>153.72152624247417</x:v>
      </x:c>
      <x:c r="J28" s="91" t="n">
        <x:f>'Annual Values'!J28/'Annual Values'!J$6*100</x:f>
        <x:v>153.71838535293253</x:v>
      </x:c>
      <x:c r="K28" s="91" t="n">
        <x:f>'Annual Values'!K28/'Annual Values'!K$6*100</x:f>
        <x:v>153.71713908975715</x:v>
      </x:c>
      <x:c r="L28" s="91" t="n">
        <x:f>'Annual Values'!L28/'Annual Values'!L$6*100</x:f>
        <x:v>214.2110663350623</x:v>
      </x:c>
      <x:c r="M28" s="91" t="n">
        <x:f>'Annual Values'!M28/'Annual Values'!M$6*100</x:f>
        <x:v>204.7240329587772</x:v>
      </x:c>
      <x:c r="N28" s="91" t="n">
        <x:f>'Annual Values'!N28/'Annual Values'!N$6*100</x:f>
        <x:v>199.3398736987671</x:v>
      </x:c>
      <x:c r="O28" s="91" t="n">
        <x:f>'Annual Values'!O28/'Annual Values'!O$6*100</x:f>
        <x:v>200.91708248653873</x:v>
      </x:c>
      <x:c r="P28" s="91" t="n">
        <x:f>'Annual Values'!P28/'Annual Values'!P$6*100</x:f>
        <x:v>191.27196024040686</x:v>
      </x:c>
      <x:c r="Q28" s="91" t="n">
        <x:f>'Annual Values'!Q28/'Annual Values'!Q$6*100</x:f>
        <x:v>193.22829585580274</x:v>
      </x:c>
      <x:c r="R28" s="91" t="n">
        <x:f>'Annual Values'!R28/'Annual Values'!R$6*100</x:f>
        <x:v>193.34650856389987</x:v>
      </x:c>
    </x:row>
    <x:row r="29">
      <x:c r="A29" s="45" t="n">
        <x:f>'Annual Values'!A29</x:f>
        <x:v>2024</x:v>
      </x:c>
      <x:c r="B29" s="45" t="str">
        <x:f>'Annual Values'!B29</x:f>
        <x:v>Actual</x:v>
      </x:c>
      <x:c r="C29" s="91" t="n">
        <x:f>'Annual Values'!C29/'Annual Values'!C$6*100</x:f>
        <x:v>161.39742061108828</x:v>
      </x:c>
      <x:c r="D29" s="91" t="n">
        <x:f>'Annual Values'!D29/'Annual Values'!D$6*100</x:f>
        <x:v>161.38799853700021</x:v>
      </x:c>
      <x:c r="E29" s="91" t="n">
        <x:f>'Annual Values'!E29/'Annual Values'!E$6*100</x:f>
        <x:v>161.38122195865404</x:v>
      </x:c>
      <x:c r="F29" s="91" t="n">
        <x:f>'Annual Values'!F29/'Annual Values'!F$6*100</x:f>
        <x:v>161.3921870467039</x:v>
      </x:c>
      <x:c r="G29" s="91" t="n">
        <x:f>'Annual Values'!G29/'Annual Values'!G$6*100</x:f>
        <x:v>161.3892597973377</x:v>
      </x:c>
      <x:c r="H29" s="91" t="n">
        <x:f>'Annual Values'!H29/'Annual Values'!H$6*100</x:f>
        <x:v>161.38256640450302</x:v>
      </x:c>
      <x:c r="I29" s="91" t="n">
        <x:f>'Annual Values'!I29/'Annual Values'!I$6*100</x:f>
        <x:v>161.38825413708605</x:v>
      </x:c>
      <x:c r="J29" s="91" t="n">
        <x:f>'Annual Values'!J29/'Annual Values'!J$6*100</x:f>
        <x:v>161.3847681442217</x:v>
      </x:c>
      <x:c r="K29" s="91" t="n">
        <x:f>'Annual Values'!K29/'Annual Values'!K$6*100</x:f>
        <x:v>161.38321763070428</x:v>
      </x:c>
      <x:c r="L29" s="91" t="n">
        <x:f>'Annual Values'!L29/'Annual Values'!L$6*100</x:f>
        <x:v>222.96535435831797</x:v>
      </x:c>
      <x:c r="M29" s="91" t="n">
        <x:f>'Annual Values'!M29/'Annual Values'!M$6*100</x:f>
        <x:v>215.373254510656</x:v>
      </x:c>
      <x:c r="N29" s="91" t="n">
        <x:f>'Annual Values'!N29/'Annual Values'!N$6*100</x:f>
        <x:v>210.62878388743223</x:v>
      </x:c>
      <x:c r="O29" s="91" t="n">
        <x:f>'Annual Values'!O29/'Annual Values'!O$6*100</x:f>
        <x:v>210.76565281396898</x:v>
      </x:c>
      <x:c r="P29" s="91" t="n">
        <x:f>'Annual Values'!P29/'Annual Values'!P$6*100</x:f>
        <x:v>199.97876213592235</x:v>
      </x:c>
      <x:c r="Q29" s="91" t="n">
        <x:f>'Annual Values'!Q29/'Annual Values'!Q$6*100</x:f>
        <x:v>202.15194729059957</x:v>
      </x:c>
      <x:c r="R29" s="91" t="n">
        <x:f>'Annual Values'!R29/'Annual Values'!R$6*100</x:f>
        <x:v>204.84189723320162</x:v>
      </x:c>
    </x:row>
    <x:row r="30">
      <x:c r="A30" s="45" t="n">
        <x:f>'Annual Values'!A30</x:f>
        <x:v>2025</x:v>
      </x:c>
      <x:c r="B30" s="45" t="str">
        <x:f>'Annual Values'!B30</x:f>
        <x:v>Actual</x:v>
      </x:c>
      <x:c r="C30" s="91" t="n">
        <x:f>'Annual Values'!C30/'Annual Values'!C$6*100</x:f>
        <x:v>164.47557641468578</x:v>
      </x:c>
      <x:c r="D30" s="91" t="n">
        <x:f>'Annual Values'!D30/'Annual Values'!D$6*100</x:f>
        <x:v>164.46956573049093</x:v>
      </x:c>
      <x:c r="E30" s="91" t="n">
        <x:f>'Annual Values'!E30/'Annual Values'!E$6*100</x:f>
        <x:v>164.46413201936406</x:v>
      </x:c>
      <x:c r="F30" s="91" t="n">
        <x:f>'Annual Values'!F30/'Annual Values'!F$6*100</x:f>
        <x:v>164.47111391488173</x:v>
      </x:c>
      <x:c r="G30" s="91" t="n">
        <x:f>'Annual Values'!G30/'Annual Values'!G$6*100</x:f>
        <x:v>164.47005932967963</x:v>
      </x:c>
      <x:c r="H30" s="91" t="n">
        <x:f>'Annual Values'!H30/'Annual Values'!H$6*100</x:f>
        <x:v>164.46172200258053</x:v>
      </x:c>
      <x:c r="I30" s="91" t="n">
        <x:f>'Annual Values'!I30/'Annual Values'!I$6*100</x:f>
        <x:v>164.46947311695334</x:v>
      </x:c>
      <x:c r="J30" s="91" t="n">
        <x:f>'Annual Values'!J30/'Annual Values'!J$6*100</x:f>
        <x:v>164.4668157075036</x:v>
      </x:c>
      <x:c r="K30" s="91" t="n">
        <x:f>'Annual Values'!K30/'Annual Values'!K$6*100</x:f>
        <x:v>164.46657729622714</x:v>
      </x:c>
      <x:c r="L30" s="91" t="n">
        <x:f>'Annual Values'!L30/'Annual Values'!L$6*100</x:f>
        <x:v>232.1118571930677</x:v>
      </x:c>
      <x:c r="M30" s="91" t="n">
        <x:f>'Annual Values'!M30/'Annual Values'!M$6*100</x:f>
        <x:v>222.45441462292837</x:v>
      </x:c>
      <x:c r="N30" s="91" t="n">
        <x:f>'Annual Values'!N30/'Annual Values'!N$6*100</x:f>
        <x:v>219.30228971445072</x:v>
      </x:c>
      <x:c r="O30" s="91" t="n">
        <x:f>'Annual Values'!O30/'Annual Values'!O$6*100</x:f>
        <x:v>219.91838027816902</x:v>
      </x:c>
      <x:c r="P30" s="91" t="n">
        <x:f>'Annual Values'!P30/'Annual Values'!P$6*100</x:f>
        <x:v>208.81613355293572</x:v>
      </x:c>
      <x:c r="Q30" s="91" t="n">
        <x:f>'Annual Values'!Q30/'Annual Values'!Q$6*100</x:f>
        <x:v>211.1929083745332</x:v>
      </x:c>
      <x:c r="R30" s="91" t="n">
        <x:f>'Annual Values'!R30/'Annual Values'!R$6*100</x:f>
        <x:v>211.9400527009223</x:v>
      </x:c>
    </x:row>
    <x:row r="31">
      <x:c r="A31" s="45" t="n">
        <x:f>'Annual Values'!A31</x:f>
        <x:v>2026</x:v>
      </x:c>
      <x:c r="B31" s="45" t="str">
        <x:f>'Annual Values'!B31</x:f>
        <x:v>Actual; private Q1 partial</x:v>
      </x:c>
      <x:c r="C31" s="91" t="n">
        <x:f>'Annual Values'!C31/'Annual Values'!C$6*100</x:f>
        <x:v>166.12164903693042</x:v>
      </x:c>
      <x:c r="D31" s="91" t="n">
        <x:f>'Annual Values'!D31/'Annual Values'!D$6*100</x:f>
        <x:v>166.11396534203925</x:v>
      </x:c>
      <x:c r="E31" s="91" t="n">
        <x:f>'Annual Values'!E31/'Annual Values'!E$6*100</x:f>
        <x:v>166.10790585404277</x:v>
      </x:c>
      <x:c r="F31" s="91" t="n">
        <x:f>'Annual Values'!F31/'Annual Values'!F$6*100</x:f>
        <x:v>166.1172912096821</x:v>
      </x:c>
      <x:c r="G31" s="91" t="n">
        <x:f>'Annual Values'!G31/'Annual Values'!G$6*100</x:f>
        <x:v>166.1150252400587</x:v>
      </x:c>
      <x:c r="H31" s="91" t="n">
        <x:f>'Annual Values'!H31/'Annual Values'!H$6*100</x:f>
        <x:v>166.10633922260632</x:v>
      </x:c>
      <x:c r="I31" s="91" t="n">
        <x:f>'Annual Values'!I31/'Annual Values'!I$6*100</x:f>
        <x:v>166.11375842768408</x:v>
      </x:c>
      <x:c r="J31" s="91" t="n">
        <x:f>'Annual Values'!J31/'Annual Values'!J$6*100</x:f>
        <x:v>166.11057440792064</x:v>
      </x:c>
      <x:c r="K31" s="91" t="n">
        <x:f>'Annual Values'!K31/'Annual Values'!K$6*100</x:f>
        <x:v>166.11362684304848</x:v>
      </x:c>
      <x:c r="L31" s="91" t="n">
        <x:f>'Annual Values'!L31/'Annual Values'!L$6*100</x:f>
        <x:v>238.12715340374493</x:v>
      </x:c>
      <x:c r="M31" s="91" t="n">
        <x:f>'Annual Values'!M31/'Annual Values'!M$6*100</x:f>
        <x:v>229.37736289318602</x:v>
      </x:c>
      <x:c r="N31" s="91" t="n">
        <x:f>'Annual Values'!N31/'Annual Values'!N$6*100</x:f>
        <x:v>225.76112484900673</x:v>
      </x:c>
      <x:c r="O31" s="91" t="n">
        <x:f>'Annual Values'!O31/'Annual Values'!O$6*100</x:f>
        <x:v>226.57326814729083</x:v>
      </x:c>
      <x:c r="P31" s="91" t="n">
        <x:f>'Annual Values'!P31/'Annual Values'!P$6*100</x:f>
        <x:v>215.4251545885345</x:v>
      </x:c>
      <x:c r="Q31" s="91" t="n">
        <x:f>'Annual Values'!Q31/'Annual Values'!Q$6*100</x:f>
        <x:v>217.97319539585968</x:v>
      </x:c>
      <x:c r="R31" s="91" t="n">
        <x:f>'Annual Values'!R31/'Annual Values'!R$6*100</x:f>
        <x:v>214.75625823451912</x:v>
      </x:c>
    </x:row>
    <x:row r="32">
      <x:c r="A32" s="70" t="str">
        <x:f>'Annual Values'!A32</x:f>
        <x:v>2027F</x:v>
      </x:c>
      <x:c r="B32" s="70" t="str">
        <x:f>'Annual Values'!B32</x:f>
        <x:v>Forecast</x:v>
      </x:c>
      <x:c r="C32" s="92" t="n">
        <x:f>'Annual Values'!C32/'Annual Values'!C$6*100</x:f>
        <x:v>166.12164903693042</x:v>
      </x:c>
      <x:c r="D32" s="92" t="n">
        <x:f>'Annual Values'!D32/'Annual Values'!D$6*100</x:f>
        <x:v>166.11396534203925</x:v>
      </x:c>
      <x:c r="E32" s="92" t="n">
        <x:f>'Annual Values'!E32/'Annual Values'!E$6*100</x:f>
        <x:v>166.10790585404277</x:v>
      </x:c>
      <x:c r="F32" s="92" t="n">
        <x:f>'Annual Values'!F32/'Annual Values'!F$6*100</x:f>
        <x:v>166.1172912096821</x:v>
      </x:c>
      <x:c r="G32" s="92" t="n">
        <x:f>'Annual Values'!G32/'Annual Values'!G$6*100</x:f>
        <x:v>166.1150252400587</x:v>
      </x:c>
      <x:c r="H32" s="92" t="n">
        <x:f>'Annual Values'!H32/'Annual Values'!H$6*100</x:f>
        <x:v>166.10633922260632</x:v>
      </x:c>
      <x:c r="I32" s="92" t="n">
        <x:f>'Annual Values'!I32/'Annual Values'!I$6*100</x:f>
        <x:v>166.11375842768408</x:v>
      </x:c>
      <x:c r="J32" s="92" t="n">
        <x:f>'Annual Values'!J32/'Annual Values'!J$6*100</x:f>
        <x:v>166.11057440792064</x:v>
      </x:c>
      <x:c r="K32" s="92" t="n">
        <x:f>'Annual Values'!K32/'Annual Values'!K$6*100</x:f>
        <x:v>166.11362684304848</x:v>
      </x:c>
      <x:c r="L32" s="92" t="n">
        <x:f>'Annual Values'!L32/'Annual Values'!L$6*100</x:f>
        <x:v>246.23481962543403</x:v>
      </x:c>
      <x:c r="M32" s="92" t="n">
        <x:f>'Annual Values'!M32/'Annual Values'!M$6*100</x:f>
        <x:v>237.97185906332646</x:v>
      </x:c>
      <x:c r="N32" s="92" t="n">
        <x:f>'Annual Values'!N32/'Annual Values'!N$6*100</x:f>
        <x:v>235.1310264019468</x:v>
      </x:c>
      <x:c r="O32" s="92" t="n">
        <x:f>'Annual Values'!O32/'Annual Values'!O$6*100</x:f>
        <x:v>234.70116942840096</x:v>
      </x:c>
      <x:c r="P32" s="92" t="n">
        <x:f>'Annual Values'!P32/'Annual Values'!P$6*100</x:f>
        <x:v>223.44823993007404</x:v>
      </x:c>
      <x:c r="Q32" s="92" t="n">
        <x:f>'Annual Values'!Q32/'Annual Values'!Q$6*100</x:f>
        <x:v>226.5003473431503</x:v>
      </x:c>
      <x:c r="R32" s="92" t="n">
        <x:f>'Annual Values'!R32/'Annual Values'!R$6*100</x:f>
        <x:v>221.62845849802375</x:v>
      </x:c>
    </x:row>
  </x:sheetData>
  <x:mergeCells>
    <x:mergeCell ref="A1:R1"/>
    <x:mergeCell ref="A2:R2"/>
  </x:mergeCells>
  <x:pageMargins left="0.7" right="0.7" top="0.75" bottom="0.75" header="0.3" footer="0.3"/>
  <x:tableParts count="1">
    <x:tablePart xmlns:r="http://schemas.openxmlformats.org/officeDocument/2006/relationships" r:id="R76a6311b76c84947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2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  <x:col min="19" max="19" width="18" hidden="0" customWidth="1"/>
  </x:cols>
  <x:sheetData>
    <x:row r="1" ht="32" customHeight="1">
      <x:c r="A1" s="3" t="str">
        <x:v>Increase Needed to Restore 2001 Growth Parity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</x:row>
    <x:row r="2" ht="34" customHeight="1">
      <x:c r="A2" s="7" t="str">
        <x:v>Positive values mean the selected baseline grew more slowly. Formula: comparator index ÷ selected baseline index − 1. The selected baseline is always 0%.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</x:row>
    <x:row r="5" ht="32" customHeight="1">
      <x:c r="A5" s="13" t="str">
        <x:v>Year</x:v>
      </x:c>
      <x:c r="B5" s="13" t="str">
        <x:v>Selected Baseline Index</x:v>
      </x:c>
      <x:c r="C5" s="13" t="str">
        <x:v>GS-7 step 1</x:v>
      </x:c>
      <x:c r="D5" s="13" t="str">
        <x:v>GS-9 step 1</x:v>
      </x:c>
      <x:c r="E5" s="13" t="str">
        <x:v>GS-11 step 1</x:v>
      </x:c>
      <x:c r="F5" s="13" t="str">
        <x:v>GS-12 step 1</x:v>
      </x:c>
      <x:c r="G5" s="13" t="str">
        <x:v>GS-13 step 1</x:v>
      </x:c>
      <x:c r="H5" s="13" t="str">
        <x:v>GS-13 step 10</x:v>
      </x:c>
      <x:c r="I5" s="13" t="str">
        <x:v>GS-14 step 1</x:v>
      </x:c>
      <x:c r="J5" s="13" t="str">
        <x:v>GS-15 step 1</x:v>
      </x:c>
      <x:c r="K5" s="13" t="str">
        <x:v>GS-15 step 10</x:v>
      </x:c>
      <x:c r="L5" s="13" t="str">
        <x:v>O-1</x:v>
      </x:c>
      <x:c r="M5" s="13" t="str">
        <x:v>O-2</x:v>
      </x:c>
      <x:c r="N5" s="13" t="str">
        <x:v>O-3</x:v>
      </x:c>
      <x:c r="O5" s="13" t="str">
        <x:v>O-4</x:v>
      </x:c>
      <x:c r="P5" s="13" t="str">
        <x:v>O-5</x:v>
      </x:c>
      <x:c r="Q5" s="13" t="str">
        <x:v>O-6</x:v>
      </x:c>
      <x:c r="R5" s="13" t="str">
        <x:v>Average private wage</x:v>
      </x:c>
      <x:c r="S5" s="13" t="str">
        <x:v>0% Reference</x:v>
      </x:c>
    </x:row>
    <x:row r="6">
      <x:c r="A6" s="44" t="n">
        <x:f>'Annual Values'!A6</x:f>
        <x:v>2001</x:v>
      </x:c>
      <x:c r="B6" s="90" t="n">
        <x:f>INDEX('Indexed Growth'!$C6:$R6,1,MATCH('Dashboard'!$B$4,'Indexed Growth'!$C$5:$R$5,0))</x:f>
        <x:v>100</x:v>
      </x:c>
      <x:c r="C6" s="93" t="n">
        <x:f>'Indexed Growth'!C6/$B6-1</x:f>
        <x:v>0</x:v>
      </x:c>
      <x:c r="D6" s="93" t="n">
        <x:f>'Indexed Growth'!D6/$B6-1</x:f>
        <x:v>0</x:v>
      </x:c>
      <x:c r="E6" s="93" t="n">
        <x:f>'Indexed Growth'!E6/$B6-1</x:f>
        <x:v>0</x:v>
      </x:c>
      <x:c r="F6" s="93" t="n">
        <x:f>'Indexed Growth'!F6/$B6-1</x:f>
        <x:v>0</x:v>
      </x:c>
      <x:c r="G6" s="93" t="n">
        <x:f>'Indexed Growth'!G6/$B6-1</x:f>
        <x:v>0</x:v>
      </x:c>
      <x:c r="H6" s="93" t="n">
        <x:f>'Indexed Growth'!H6/$B6-1</x:f>
        <x:v>0</x:v>
      </x:c>
      <x:c r="I6" s="93" t="n">
        <x:f>'Indexed Growth'!I6/$B6-1</x:f>
        <x:v>0</x:v>
      </x:c>
      <x:c r="J6" s="93" t="n">
        <x:f>'Indexed Growth'!J6/$B6-1</x:f>
        <x:v>0</x:v>
      </x:c>
      <x:c r="K6" s="93" t="n">
        <x:f>'Indexed Growth'!K6/$B6-1</x:f>
        <x:v>0</x:v>
      </x:c>
      <x:c r="L6" s="93" t="n">
        <x:f>'Indexed Growth'!L6/$B6-1</x:f>
        <x:v>0</x:v>
      </x:c>
      <x:c r="M6" s="93" t="n">
        <x:f>'Indexed Growth'!M6/$B6-1</x:f>
        <x:v>0</x:v>
      </x:c>
      <x:c r="N6" s="93" t="n">
        <x:f>'Indexed Growth'!N6/$B6-1</x:f>
        <x:v>0</x:v>
      </x:c>
      <x:c r="O6" s="93" t="n">
        <x:f>'Indexed Growth'!O6/$B6-1</x:f>
        <x:v>0</x:v>
      </x:c>
      <x:c r="P6" s="93" t="n">
        <x:f>'Indexed Growth'!P6/$B6-1</x:f>
        <x:v>0</x:v>
      </x:c>
      <x:c r="Q6" s="93" t="n">
        <x:f>'Indexed Growth'!Q6/$B6-1</x:f>
        <x:v>0</x:v>
      </x:c>
      <x:c r="R6" s="93" t="n">
        <x:f>'Indexed Growth'!R6/$B6-1</x:f>
        <x:v>0</x:v>
      </x:c>
      <x:c r="S6" s="97" t="n">
        <x:f>0</x:f>
        <x:v>0</x:v>
      </x:c>
    </x:row>
    <x:row r="7">
      <x:c r="A7" s="45" t="n">
        <x:f>'Annual Values'!A7</x:f>
        <x:v>2002</x:v>
      </x:c>
      <x:c r="B7" s="91" t="n">
        <x:f>INDEX('Indexed Growth'!$C7:$R7,1,MATCH('Dashboard'!$B$4,'Indexed Growth'!$C$5:$R$5,0))</x:f>
        <x:v>104.5217324320681</x:v>
      </x:c>
      <x:c r="C7" s="94" t="n">
        <x:f>'Indexed Growth'!C7/$B7-1</x:f>
        <x:v>0.00001154587833629428</x:v>
      </x:c>
      <x:c r="D7" s="94" t="n">
        <x:f>'Indexed Growth'!D7/$B7-1</x:f>
        <x:v>0.000022925894961778326</x:v>
      </x:c>
      <x:c r="E7" s="94" t="n">
        <x:f>'Indexed Growth'!E7/$B7-1</x:f>
        <x:v>-0.000001894520377465625</x:v>
      </x:c>
      <x:c r="F7" s="94" t="n">
        <x:f>'Indexed Growth'!F7/$B7-1</x:f>
        <x:v>0</x:v>
      </x:c>
      <x:c r="G7" s="94" t="n">
        <x:f>'Indexed Growth'!G7/$B7-1</x:f>
        <x:v>0.0000135640729572728</x:v>
      </x:c>
      <x:c r="H7" s="94" t="n">
        <x:f>'Indexed Growth'!H7/$B7-1</x:f>
        <x:v>-0.00008344252712089162</x:v>
      </x:c>
      <x:c r="I7" s="94" t="n">
        <x:f>'Indexed Growth'!I7/$B7-1</x:f>
        <x:v>0.00003326488494037605</x:v>
      </x:c>
      <x:c r="J7" s="94" t="n">
        <x:f>'Indexed Growth'!J7/$B7-1</x:f>
        <x:v>0.00002125240402994777</x:v>
      </x:c>
      <x:c r="K7" s="94" t="n">
        <x:f>'Indexed Growth'!K7/$B7-1</x:f>
        <x:v>0.000056640137215291375</x:v>
      </x:c>
      <x:c r="L7" s="94" t="n">
        <x:f>'Indexed Growth'!L7/$B7-1</x:f>
        <x:v>-0.009765290747684952</x:v>
      </x:c>
      <x:c r="M7" s="94" t="n">
        <x:f>'Indexed Growth'!M7/$B7-1</x:f>
        <x:v>-0.008352463690088796</x:v>
      </x:c>
      <x:c r="N7" s="94" t="n">
        <x:f>'Indexed Growth'!N7/$B7-1</x:f>
        <x:v>0.003284262300174312</x:v>
      </x:c>
      <x:c r="O7" s="94" t="n">
        <x:f>'Indexed Growth'!O7/$B7-1</x:f>
        <x:v>0.008686522716803147</x:v>
      </x:c>
      <x:c r="P7" s="94" t="n">
        <x:f>'Indexed Growth'!P7/$B7-1</x:f>
        <x:v>-0.0030186608472482224</x:v>
      </x:c>
      <x:c r="Q7" s="94" t="n">
        <x:f>'Indexed Growth'!Q7/$B7-1</x:f>
        <x:v>-0.0031166629396705003</x:v>
      </x:c>
      <x:c r="R7" s="94" t="n">
        <x:f>'Indexed Growth'!R7/$B7-1</x:f>
        <x:v>0.004953929174184246</x:v>
      </x:c>
      <x:c r="S7" s="98" t="n">
        <x:f>0</x:f>
        <x:v>0</x:v>
      </x:c>
    </x:row>
    <x:row r="8">
      <x:c r="A8" s="45" t="n">
        <x:f>'Annual Values'!A8</x:f>
        <x:v>2003</x:v>
      </x:c>
      <x:c r="B8" s="91" t="n">
        <x:f>INDEX('Indexed Growth'!$C8:$R8,1,MATCH('Dashboard'!$B$4,'Indexed Growth'!$C$5:$R$5,0))</x:f>
        <x:v>108.7353399965336</x:v>
      </x:c>
      <x:c r="C8" s="94" t="n">
        <x:f>'Indexed Growth'!C8/$B8-1</x:f>
        <x:v>-0.0000030184384314235757</x:v>
      </x:c>
      <x:c r="D8" s="94" t="n">
        <x:f>'Indexed Growth'!D8/$B8-1</x:f>
        <x:v>0.0000012701382798852023</x:v>
      </x:c>
      <x:c r="E8" s="94" t="n">
        <x:f>'Indexed Growth'!E8/$B8-1</x:f>
        <x:v>-0.000014294147152704717</x:v>
      </x:c>
      <x:c r="F8" s="94" t="n">
        <x:f>'Indexed Growth'!F8/$B8-1</x:f>
        <x:v>0</x:v>
      </x:c>
      <x:c r="G8" s="94" t="n">
        <x:f>'Indexed Growth'!G8/$B8-1</x:f>
        <x:v>2.2199698812563895e-7</x:v>
      </x:c>
      <x:c r="H8" s="94" t="n">
        <x:f>'Indexed Growth'!H8/$B8-1</x:f>
        <x:v>-0.000030284637890898303</x:v>
      </x:c>
      <x:c r="I8" s="94" t="n">
        <x:f>'Indexed Growth'!I8/$B8-1</x:f>
        <x:v>0.000011466126749404282</x:v>
      </x:c>
      <x:c r="J8" s="94" t="n">
        <x:f>'Indexed Growth'!J8/$B8-1</x:f>
        <x:v>0.0000030319836414882673</x:v>
      </x:c>
      <x:c r="K8" s="94" t="n">
        <x:f>'Indexed Growth'!K8/$B8-1</x:f>
        <x:v>0.000016651381424814815</x:v>
      </x:c>
      <x:c r="L8" s="94" t="n">
        <x:f>'Indexed Growth'!L8/$B8-1</x:f>
        <x:v>-0.022037794452623216</x:v>
      </x:c>
      <x:c r="M8" s="94" t="n">
        <x:f>'Indexed Growth'!M8/$B8-1</x:f>
        <x:v>-0.005903516068370918</x:v>
      </x:c>
      <x:c r="N8" s="94" t="n">
        <x:f>'Indexed Growth'!N8/$B8-1</x:f>
        <x:v>0.0027197818123521067</x:v>
      </x:c>
      <x:c r="O8" s="94" t="n">
        <x:f>'Indexed Growth'!O8/$B8-1</x:f>
        <x:v>0.015847542964534833</x:v>
      </x:c>
      <x:c r="P8" s="94" t="n">
        <x:f>'Indexed Growth'!P8/$B8-1</x:f>
        <x:v>-0.025925717819842986</x:v>
      </x:c>
      <x:c r="Q8" s="94" t="n">
        <x:f>'Indexed Growth'!Q8/$B8-1</x:f>
        <x:v>-0.004135188383672994</x:v>
      </x:c>
      <x:c r="R8" s="94" t="n">
        <x:f>'Indexed Growth'!R8/$B8-1</x:f>
        <x:v>-0.00930112580633613</x:v>
      </x:c>
      <x:c r="S8" s="98" t="n">
        <x:f>0</x:f>
        <x:v>0</x:v>
      </x:c>
    </x:row>
    <x:row r="9">
      <x:c r="A9" s="45" t="n">
        <x:f>'Annual Values'!A9</x:f>
        <x:v>2004</x:v>
      </x:c>
      <x:c r="B9" s="91" t="n">
        <x:f>INDEX('Indexed Growth'!$C9:$R9,1,MATCH('Dashboard'!$B$4,'Indexed Growth'!$C$5:$R$5,0))</x:f>
        <x:v>112.97590848691432</x:v>
      </x:c>
      <x:c r="C9" s="94" t="n">
        <x:f>'Indexed Growth'!C9/$B9-1</x:f>
        <x:v>-0.000013234724734800807</x:v>
      </x:c>
      <x:c r="D9" s="94" t="n">
        <x:f>'Indexed Growth'!D9/$B9-1</x:f>
        <x:v>-0.000010216709635524346</x:v>
      </x:c>
      <x:c r="E9" s="94" t="n">
        <x:f>'Indexed Growth'!E9/$B9-1</x:f>
        <x:v>-0.000019247204271932716</x:v>
      </x:c>
      <x:c r="F9" s="94" t="n">
        <x:f>'Indexed Growth'!F9/$B9-1</x:f>
        <x:v>0</x:v>
      </x:c>
      <x:c r="G9" s="94" t="n">
        <x:f>'Indexed Growth'!G9/$B9-1</x:f>
        <x:v>0.000007257132670135391</x:v>
      </x:c>
      <x:c r="H9" s="94" t="n">
        <x:f>'Indexed Growth'!H9/$B9-1</x:f>
        <x:v>-0.00004332690814679019</x:v>
      </x:c>
      <x:c r="I9" s="94" t="n">
        <x:f>'Indexed Growth'!I9/$B9-1</x:f>
        <x:v>0.000007391502552245299</x:v>
      </x:c>
      <x:c r="J9" s="94" t="n">
        <x:f>'Indexed Growth'!J9/$B9-1</x:f>
        <x:v>0.00000534423307430032</x:v>
      </x:c>
      <x:c r="K9" s="94" t="n">
        <x:f>'Indexed Growth'!K9/$B9-1</x:f>
        <x:v>0.00003451977908608406</x:v>
      </x:c>
      <x:c r="L9" s="94" t="n">
        <x:f>'Indexed Growth'!L9/$B9-1</x:f>
        <x:v>-0.010721762179235483</x:v>
      </x:c>
      <x:c r="M9" s="94" t="n">
        <x:f>'Indexed Growth'!M9/$B9-1</x:f>
        <x:v>-0.009301773858832352</x:v>
      </x:c>
      <x:c r="N9" s="94" t="n">
        <x:f>'Indexed Growth'!N9/$B9-1</x:f>
        <x:v>0.0027608421545197714</x:v>
      </x:c>
      <x:c r="O9" s="94" t="n">
        <x:f>'Indexed Growth'!O9/$B9-1</x:f>
        <x:v>0.01864659583790851</x:v>
      </x:c>
      <x:c r="P9" s="94" t="n">
        <x:f>'Indexed Growth'!P9/$B9-1</x:f>
        <x:v>-0.022371967744550303</x:v>
      </x:c>
      <x:c r="Q9" s="94" t="n">
        <x:f>'Indexed Growth'!Q9/$B9-1</x:f>
        <x:v>-0.001284308291862546</x:v>
      </x:c>
      <x:c r="R9" s="94" t="n">
        <x:f>'Indexed Growth'!R9/$B9-1</x:f>
        <x:v>-0.018498406069971107</x:v>
      </x:c>
      <x:c r="S9" s="98" t="n">
        <x:f>0</x:f>
        <x:v>0</x:v>
      </x:c>
    </x:row>
    <x:row r="10">
      <x:c r="A10" s="45" t="n">
        <x:f>'Annual Values'!A10</x:f>
        <x:v>2005</x:v>
      </x:c>
      <x:c r="B10" s="91" t="n">
        <x:f>INDEX('Indexed Growth'!$C10:$R10,1,MATCH('Dashboard'!$B$4,'Indexed Growth'!$C$5:$R$5,0))</x:f>
        <x:v>116.65607487434282</x:v>
      </x:c>
      <x:c r="C10" s="94" t="n">
        <x:f>'Indexed Growth'!C10/$B10-1</x:f>
        <x:v>0.00000782465443771585</x:v>
      </x:c>
      <x:c r="D10" s="94" t="n">
        <x:f>'Indexed Growth'!D10/$B10-1</x:f>
        <x:v>-0.000004962414440701224</x:v>
      </x:c>
      <x:c r="E10" s="94" t="n">
        <x:f>'Indexed Growth'!E10/$B10-1</x:f>
        <x:v>-0.000027917149772904715</x:v>
      </x:c>
      <x:c r="F10" s="94" t="n">
        <x:f>'Indexed Growth'!F10/$B10-1</x:f>
        <x:v>0</x:v>
      </x:c>
      <x:c r="G10" s="94" t="n">
        <x:f>'Indexed Growth'!G10/$B10-1</x:f>
        <x:v>0.000014442158209115874</x:v>
      </x:c>
      <x:c r="H10" s="94" t="n">
        <x:f>'Indexed Growth'!H10/$B10-1</x:f>
        <x:v>-0.00007827359867695893</x:v>
      </x:c>
      <x:c r="I10" s="94" t="n">
        <x:f>'Indexed Growth'!I10/$B10-1</x:f>
        <x:v>0.000002687000638657011</x:v>
      </x:c>
      <x:c r="J10" s="94" t="n">
        <x:f>'Indexed Growth'!J10/$B10-1</x:f>
        <x:v>0.0000075684326172886784</x:v>
      </x:c>
      <x:c r="K10" s="94" t="n">
        <x:f>'Indexed Growth'!K10/$B10-1</x:f>
        <x:v>0.00005366296620978872</x:v>
      </x:c>
      <x:c r="L10" s="94" t="n">
        <x:f>'Indexed Growth'!L10/$B10-1</x:f>
        <x:v>-0.0013043740934839398</x:v>
      </x:c>
      <x:c r="M10" s="94" t="n">
        <x:f>'Indexed Growth'!M10/$B10-1</x:f>
        <x:v>0.010016208792665404</x:v>
      </x:c>
      <x:c r="N10" s="94" t="n">
        <x:f>'Indexed Growth'!N10/$B10-1</x:f>
        <x:v>0.024783246537107617</x:v>
      </x:c>
      <x:c r="O10" s="94" t="n">
        <x:f>'Indexed Growth'!O10/$B10-1</x:f>
        <x:v>0.03846159085862255</x:v>
      </x:c>
      <x:c r="P10" s="94" t="n">
        <x:f>'Indexed Growth'!P10/$B10-1</x:f>
        <x:v>-0.005468705137682162</x:v>
      </x:c>
      <x:c r="Q10" s="94" t="n">
        <x:f>'Indexed Growth'!Q10/$B10-1</x:f>
        <x:v>0.013676611528124383</x:v>
      </x:c>
      <x:c r="R10" s="94" t="n">
        <x:f>'Indexed Growth'!R10/$B10-1</x:f>
        <x:v>-0.02447382923669239</x:v>
      </x:c>
      <x:c r="S10" s="98" t="n">
        <x:f>0</x:f>
        <x:v>0</x:v>
      </x:c>
    </x:row>
    <x:row r="11">
      <x:c r="A11" s="45" t="n">
        <x:f>'Annual Values'!A11</x:f>
        <x:v>2006</x:v>
      </x:c>
      <x:c r="B11" s="91" t="n">
        <x:f>INDEX('Indexed Growth'!$C11:$R11,1,MATCH('Dashboard'!$B$4,'Indexed Growth'!$C$5:$R$5,0))</x:f>
        <x:v>119.95878829895814</x:v>
      </x:c>
      <x:c r="C11" s="94" t="n">
        <x:f>'Indexed Growth'!C11/$B11-1</x:f>
        <x:v>0.000013210712337619057</x:v>
      </x:c>
      <x:c r="D11" s="94" t="n">
        <x:f>'Indexed Growth'!D11/$B11-1</x:f>
        <x:v>0.0000036570011299197347</x:v>
      </x:c>
      <x:c r="E11" s="94" t="n">
        <x:f>'Indexed Growth'!E11/$B11-1</x:f>
        <x:v>-0.000025871308003688753</x:v>
      </x:c>
      <x:c r="F11" s="94" t="n">
        <x:f>'Indexed Growth'!F11/$B11-1</x:f>
        <x:v>0</x:v>
      </x:c>
      <x:c r="G11" s="94" t="n">
        <x:f>'Indexed Growth'!G11/$B11-1</x:f>
        <x:v>0.00000874556446017749</x:v>
      </x:c>
      <x:c r="H11" s="94" t="n">
        <x:f>'Indexed Growth'!H11/$B11-1</x:f>
        <x:v>-0.00010088769918747964</x:v>
      </x:c>
      <x:c r="I11" s="94" t="n">
        <x:f>'Indexed Growth'!I11/$B11-1</x:f>
        <x:v>0.0000031047373791892596</x:v>
      </x:c>
      <x:c r="J11" s="94" t="n">
        <x:f>'Indexed Growth'!J11/$B11-1</x:f>
        <x:v>0.000009448316205862284</x:v>
      </x:c>
      <x:c r="K11" s="94" t="n">
        <x:f>'Indexed Growth'!K11/$B11-1</x:f>
        <x:v>-0.000009081515287667763</x:v>
      </x:c>
      <x:c r="L11" s="94" t="n">
        <x:f>'Indexed Growth'!L11/$B11-1</x:f>
        <x:v>-0.0026578111434020224</x:v>
      </x:c>
      <x:c r="M11" s="94" t="n">
        <x:f>'Indexed Growth'!M11/$B11-1</x:f>
        <x:v>0.008887404797885523</x:v>
      </x:c>
      <x:c r="N11" s="94" t="n">
        <x:f>'Indexed Growth'!N11/$B11-1</x:f>
        <x:v>0.032816647004707766</x:v>
      </x:c>
      <x:c r="O11" s="94" t="n">
        <x:f>'Indexed Growth'!O11/$B11-1</x:f>
        <x:v>0.039373076567107645</x:v>
      </x:c>
      <x:c r="P11" s="94" t="n">
        <x:f>'Indexed Growth'!P11/$B11-1</x:f>
        <x:v>-0.007993430256157508</x:v>
      </x:c>
      <x:c r="Q11" s="94" t="n">
        <x:f>'Indexed Growth'!Q11/$B11-1</x:f>
        <x:v>0.01186668787452927</x:v>
      </x:c>
      <x:c r="R11" s="94" t="n">
        <x:f>'Indexed Growth'!R11/$B11-1</x:f>
        <x:v>-0.016323352087800336</x:v>
      </x:c>
      <x:c r="S11" s="98" t="n">
        <x:f>0</x:f>
        <x:v>0</x:v>
      </x:c>
    </x:row>
    <x:row r="12">
      <x:c r="A12" s="45" t="n">
        <x:f>'Annual Values'!A12</x:f>
        <x:v>2007</x:v>
      </x:c>
      <x:c r="B12" s="91" t="n">
        <x:f>INDEX('Indexed Growth'!$C12:$R12,1,MATCH('Dashboard'!$B$4,'Indexed Growth'!$C$5:$R$5,0))</x:f>
        <x:v>122.12721705471141</x:v>
      </x:c>
      <x:c r="C12" s="94" t="n">
        <x:f>'Indexed Growth'!C12/$B12-1</x:f>
        <x:v>0.00004754509927229478</x:v>
      </x:c>
      <x:c r="D12" s="94" t="n">
        <x:f>'Indexed Growth'!D12/$B12-1</x:f>
        <x:v>-0.000007177533057789454</x:v>
      </x:c>
      <x:c r="E12" s="94" t="n">
        <x:f>'Indexed Growth'!E12/$B12-1</x:f>
        <x:v>-0.00001583852151920695</x:v>
      </x:c>
      <x:c r="F12" s="94" t="n">
        <x:f>'Indexed Growth'!F12/$B12-1</x:f>
        <x:v>0</x:v>
      </x:c>
      <x:c r="G12" s="94" t="n">
        <x:f>'Indexed Growth'!G12/$B12-1</x:f>
        <x:v>0.00002207518014829546</x:v>
      </x:c>
      <x:c r="H12" s="94" t="n">
        <x:f>'Indexed Growth'!H12/$B12-1</x:f>
        <x:v>-0.000015386992577193226</x:v>
      </x:c>
      <x:c r="I12" s="94" t="n">
        <x:f>'Indexed Growth'!I12/$B12-1</x:f>
        <x:v>-1.0113506643261161e-7</x:v>
      </x:c>
      <x:c r="J12" s="94" t="n">
        <x:f>'Indexed Growth'!J12/$B12-1</x:f>
        <x:v>0.00001685733871359396</x:v>
      </x:c>
      <x:c r="K12" s="94" t="n">
        <x:f>'Indexed Growth'!K12/$B12-1</x:f>
        <x:v>0.000016364024225001828</x:v>
      </x:c>
      <x:c r="L12" s="94" t="n">
        <x:f>'Indexed Growth'!L12/$B12-1</x:f>
        <x:v>0.0017372305491176743</x:v>
      </x:c>
      <x:c r="M12" s="94" t="n">
        <x:f>'Indexed Growth'!M12/$B12-1</x:f>
        <x:v>0.0005101013906672058</x:v>
      </x:c>
      <x:c r="N12" s="94" t="n">
        <x:f>'Indexed Growth'!N12/$B12-1</x:f>
        <x:v>0.026867507209737074</x:v>
      </x:c>
      <x:c r="O12" s="94" t="n">
        <x:f>'Indexed Growth'!O12/$B12-1</x:f>
        <x:v>0.042533555283628344</x:v>
      </x:c>
      <x:c r="P12" s="94" t="n">
        <x:f>'Indexed Growth'!P12/$B12-1</x:f>
        <x:v>-0.0006201772161944508</x:v>
      </x:c>
      <x:c r="Q12" s="94" t="n">
        <x:f>'Indexed Growth'!Q12/$B12-1</x:f>
        <x:v>0.01890607880297468</x:v>
      </x:c>
      <x:c r="R12" s="94" t="n">
        <x:f>'Indexed Growth'!R12/$B12-1</x:f>
        <x:v>-0.005470199727619862</x:v>
      </x:c>
      <x:c r="S12" s="98" t="n">
        <x:f>0</x:f>
        <x:v>0</x:v>
      </x:c>
    </x:row>
    <x:row r="13">
      <x:c r="A13" s="45" t="n">
        <x:f>'Annual Values'!A13</x:f>
        <x:v>2008</x:v>
      </x:c>
      <x:c r="B13" s="91" t="n">
        <x:f>INDEX('Indexed Growth'!$C13:$R13,1,MATCH('Dashboard'!$B$4,'Indexed Growth'!$C$5:$R$5,0))</x:f>
        <x:v>125.7823482966472</x:v>
      </x:c>
      <x:c r="C13" s="94" t="n">
        <x:f>'Indexed Growth'!C13/$B13-1</x:f>
        <x:v>0.0000470714438622899</x:v>
      </x:c>
      <x:c r="D13" s="94" t="n">
        <x:f>'Indexed Growth'!D13/$B13-1</x:f>
        <x:v>-0.0000031811191750774626</x:v>
      </x:c>
      <x:c r="E13" s="94" t="n">
        <x:f>'Indexed Growth'!E13/$B13-1</x:f>
        <x:v>-0.000045144638666227976</x:v>
      </x:c>
      <x:c r="F13" s="94" t="n">
        <x:f>'Indexed Growth'!F13/$B13-1</x:f>
        <x:v>0</x:v>
      </x:c>
      <x:c r="G13" s="94" t="n">
        <x:f>'Indexed Growth'!G13/$B13-1</x:f>
        <x:v>0.000008468596286226315</x:v>
      </x:c>
      <x:c r="H13" s="94" t="n">
        <x:f>'Indexed Growth'!H13/$B13-1</x:f>
        <x:v>-0.000008035399952199818</x:v>
      </x:c>
      <x:c r="I13" s="94" t="n">
        <x:f>'Indexed Growth'!I13/$B13-1</x:f>
        <x:v>-0.00001222164577774354</x:v>
      </x:c>
      <x:c r="J13" s="94" t="n">
        <x:f>'Indexed Growth'!J13/$B13-1</x:f>
        <x:v>0.000004583207884323315</x:v>
      </x:c>
      <x:c r="K13" s="94" t="n">
        <x:f>'Indexed Growth'!K13/$B13-1</x:f>
        <x:v>0.00004131086627690017</x:v>
      </x:c>
      <x:c r="L13" s="94" t="n">
        <x:f>'Indexed Growth'!L13/$B13-1</x:f>
        <x:v>0.03713944933492219</x:v>
      </x:c>
      <x:c r="M13" s="94" t="n">
        <x:f>'Indexed Growth'!M13/$B13-1</x:f>
        <x:v>0.024100576112421557</x:v>
      </x:c>
      <x:c r="N13" s="94" t="n">
        <x:f>'Indexed Growth'!N13/$B13-1</x:f>
        <x:v>0.057236011679969945</x:v>
      </x:c>
      <x:c r="O13" s="94" t="n">
        <x:f>'Indexed Growth'!O13/$B13-1</x:f>
        <x:v>0.05832812146519917</x:v>
      </x:c>
      <x:c r="P13" s="94" t="n">
        <x:f>'Indexed Growth'!P13/$B13-1</x:f>
        <x:v>0.006677058572465144</x:v>
      </x:c>
      <x:c r="Q13" s="94" t="n">
        <x:f>'Indexed Growth'!Q13/$B13-1</x:f>
        <x:v>0.0258894644299692</x:v>
      </x:c>
      <x:c r="R13" s="94" t="n">
        <x:f>'Indexed Growth'!R13/$B13-1</x:f>
        <x:v>-0.00045881330941321963</x:v>
      </x:c>
      <x:c r="S13" s="98" t="n">
        <x:f>0</x:f>
        <x:v>0</x:v>
      </x:c>
    </x:row>
    <x:row r="14">
      <x:c r="A14" s="45" t="n">
        <x:f>'Annual Values'!A14</x:f>
        <x:v>2009</x:v>
      </x:c>
      <x:c r="B14" s="91" t="n">
        <x:f>INDEX('Indexed Growth'!$C14:$R14,1,MATCH('Dashboard'!$B$4,'Indexed Growth'!$C$5:$R$5,0))</x:f>
        <x:v>130.20779170758948</x:v>
      </x:c>
      <x:c r="C14" s="94" t="n">
        <x:f>'Indexed Growth'!C14/$B14-1</x:f>
        <x:v>0.00003340178823796336</x:v>
      </x:c>
      <x:c r="D14" s="94" t="n">
        <x:f>'Indexed Growth'!D14/$B14-1</x:f>
        <x:v>0.000004159703015815808</x:v>
      </x:c>
      <x:c r="E14" s="94" t="n">
        <x:f>'Indexed Growth'!E14/$B14-1</x:f>
        <x:v>-0.00005012663275516527</x:v>
      </x:c>
      <x:c r="F14" s="94" t="n">
        <x:f>'Indexed Growth'!F14/$B14-1</x:f>
        <x:v>0</x:v>
      </x:c>
      <x:c r="G14" s="94" t="n">
        <x:f>'Indexed Growth'!G14/$B14-1</x:f>
        <x:v>-1.1568764890501626e-7</x:v>
      </x:c>
      <x:c r="H14" s="94" t="n">
        <x:f>'Indexed Growth'!H14/$B14-1</x:f>
        <x:v>-0.000043175413351637104</x:v>
      </x:c>
      <x:c r="I14" s="94" t="n">
        <x:f>'Indexed Growth'!I14/$B14-1</x:f>
        <x:v>-0.000013930246014481895</x:v>
      </x:c>
      <x:c r="J14" s="94" t="n">
        <x:f>'Indexed Growth'!J14/$B14-1</x:f>
        <x:v>4.3147425388134764e-7</x:v>
      </x:c>
      <x:c r="K14" s="94" t="n">
        <x:f>'Indexed Growth'!K14/$B14-1</x:f>
        <x:v>0.000019574577902137236</x:v>
      </x:c>
      <x:c r="L14" s="94" t="n">
        <x:f>'Indexed Growth'!L14/$B14-1</x:f>
        <x:v>0.06087352686064529</x:v>
      </x:c>
      <x:c r="M14" s="94" t="n">
        <x:f>'Indexed Growth'!M14/$B14-1</x:f>
        <x:v>0.07328304279858355</x:v>
      </x:c>
      <x:c r="N14" s="94" t="n">
        <x:f>'Indexed Growth'!N14/$B14-1</x:f>
        <x:v>0.0861205614476317</x:v>
      </x:c>
      <x:c r="O14" s="94" t="n">
        <x:f>'Indexed Growth'!O14/$B14-1</x:f>
        <x:v>0.09299698676602186</x:v>
      </x:c>
      <x:c r="P14" s="94" t="n">
        <x:f>'Indexed Growth'!P14/$B14-1</x:f>
        <x:v>0.04107700739087905</x:v>
      </x:c>
      <x:c r="Q14" s="94" t="n">
        <x:f>'Indexed Growth'!Q14/$B14-1</x:f>
        <x:v>0.05619155344072979</x:v>
      </x:c>
      <x:c r="R14" s="94" t="n">
        <x:f>'Indexed Growth'!R14/$B14-1</x:f>
        <x:v>-0.017229113563012377</x:v>
      </x:c>
      <x:c r="S14" s="98" t="n">
        <x:f>0</x:f>
        <x:v>0</x:v>
      </x:c>
    </x:row>
    <x:row r="15">
      <x:c r="A15" s="45" t="n">
        <x:f>'Annual Values'!A15</x:f>
        <x:v>2010</x:v>
      </x:c>
      <x:c r="B15" s="91" t="n">
        <x:f>INDEX('Indexed Growth'!$C15:$R15,1,MATCH('Dashboard'!$B$4,'Indexed Growth'!$C$5:$R$5,0))</x:f>
        <x:v>132.51102509291889</x:v>
      </x:c>
      <x:c r="C15" s="94" t="n">
        <x:f>'Indexed Growth'!C15/$B15-1</x:f>
        <x:v>0.0000012277547905004127</x:v>
      </x:c>
      <x:c r="D15" s="94" t="n">
        <x:f>'Indexed Growth'!D15/$B15-1</x:f>
        <x:v>-0.00003262128601944081</x:v>
      </x:c>
      <x:c r="E15" s="94" t="n">
        <x:f>'Indexed Growth'!E15/$B15-1</x:f>
        <x:v>-0.00006491237888461843</x:v>
      </x:c>
      <x:c r="F15" s="94" t="n">
        <x:f>'Indexed Growth'!F15/$B15-1</x:f>
        <x:v>0</x:v>
      </x:c>
      <x:c r="G15" s="94" t="n">
        <x:f>'Indexed Growth'!G15/$B15-1</x:f>
        <x:v>-0.000015067475526819862</x:v>
      </x:c>
      <x:c r="H15" s="94" t="n">
        <x:f>'Indexed Growth'!H15/$B15-1</x:f>
        <x:v>-0.00008954659100268714</x:v>
      </x:c>
      <x:c r="I15" s="94" t="n">
        <x:f>'Indexed Growth'!I15/$B15-1</x:f>
        <x:v>-0.000020372943627111617</x:v>
      </x:c>
      <x:c r="J15" s="94" t="n">
        <x:f>'Indexed Growth'!J15/$B15-1</x:f>
        <x:v>-0.00001638042147500407</x:v>
      </x:c>
      <x:c r="K15" s="94" t="n">
        <x:f>'Indexed Growth'!K15/$B15-1</x:f>
        <x:v>-8.583213569890447e-7</x:v>
      </x:c>
      <x:c r="L15" s="94" t="n">
        <x:f>'Indexed Growth'!L15/$B15-1</x:f>
        <x:v>0.05674632652228051</x:v>
      </x:c>
      <x:c r="M15" s="94" t="n">
        <x:f>'Indexed Growth'!M15/$B15-1</x:f>
        <x:v>0.06415247524814172</x:v>
      </x:c>
      <x:c r="N15" s="94" t="n">
        <x:f>'Indexed Growth'!N15/$B15-1</x:f>
        <x:v>0.06963911849991233</x:v>
      </x:c>
      <x:c r="O15" s="94" t="n">
        <x:f>'Indexed Growth'!O15/$B15-1</x:f>
        <x:v>0.08398696307485931</x:v>
      </x:c>
      <x:c r="P15" s="94" t="n">
        <x:f>'Indexed Growth'!P15/$B15-1</x:f>
        <x:v>0.037466612138545186</x:v>
      </x:c>
      <x:c r="Q15" s="94" t="n">
        <x:f>'Indexed Growth'!Q15/$B15-1</x:f>
        <x:v>0.055883023951962096</x:v>
      </x:c>
      <x:c r="R15" s="94" t="n">
        <x:f>'Indexed Growth'!R15/$B15-1</x:f>
        <x:v>-0.02523834091470567</x:v>
      </x:c>
      <x:c r="S15" s="98" t="n">
        <x:f>0</x:f>
        <x:v>0</x:v>
      </x:c>
    </x:row>
    <x:row r="16">
      <x:c r="A16" s="45" t="n">
        <x:f>'Annual Values'!A16</x:f>
        <x:v>2011</x:v>
      </x:c>
      <x:c r="B16" s="91" t="n">
        <x:f>INDEX('Indexed Growth'!$C16:$R16,1,MATCH('Dashboard'!$B$4,'Indexed Growth'!$C$5:$R$5,0))</x:f>
        <x:v>132.51102509291889</x:v>
      </x:c>
      <x:c r="C16" s="94" t="n">
        <x:f>'Indexed Growth'!C16/$B16-1</x:f>
        <x:v>0.0000012277547905004127</x:v>
      </x:c>
      <x:c r="D16" s="94" t="n">
        <x:f>'Indexed Growth'!D16/$B16-1</x:f>
        <x:v>-0.00003262128601944081</x:v>
      </x:c>
      <x:c r="E16" s="94" t="n">
        <x:f>'Indexed Growth'!E16/$B16-1</x:f>
        <x:v>-0.00006491237888461843</x:v>
      </x:c>
      <x:c r="F16" s="94" t="n">
        <x:f>'Indexed Growth'!F16/$B16-1</x:f>
        <x:v>0</x:v>
      </x:c>
      <x:c r="G16" s="94" t="n">
        <x:f>'Indexed Growth'!G16/$B16-1</x:f>
        <x:v>-0.000015067475526819862</x:v>
      </x:c>
      <x:c r="H16" s="94" t="n">
        <x:f>'Indexed Growth'!H16/$B16-1</x:f>
        <x:v>-0.00008954659100268714</x:v>
      </x:c>
      <x:c r="I16" s="94" t="n">
        <x:f>'Indexed Growth'!I16/$B16-1</x:f>
        <x:v>-0.000020372943627111617</x:v>
      </x:c>
      <x:c r="J16" s="94" t="n">
        <x:f>'Indexed Growth'!J16/$B16-1</x:f>
        <x:v>-0.00001638042147500407</x:v>
      </x:c>
      <x:c r="K16" s="94" t="n">
        <x:f>'Indexed Growth'!K16/$B16-1</x:f>
        <x:v>-8.583213569890447e-7</x:v>
      </x:c>
      <x:c r="L16" s="94" t="n">
        <x:f>'Indexed Growth'!L16/$B16-1</x:f>
        <x:v>0.0768290580391815</x:v>
      </x:c>
      <x:c r="M16" s="94" t="n">
        <x:f>'Indexed Growth'!M16/$B16-1</x:f>
        <x:v>0.07435959679616899</x:v>
      </x:c>
      <x:c r="N16" s="94" t="n">
        <x:f>'Indexed Growth'!N16/$B16-1</x:f>
        <x:v>0.10297901363678541</x:v>
      </x:c>
      <x:c r="O16" s="94" t="n">
        <x:f>'Indexed Growth'!O16/$B16-1</x:f>
        <x:v>0.11001493305839904</x:v>
      </x:c>
      <x:c r="P16" s="94" t="n">
        <x:f>'Indexed Growth'!P16/$B16-1</x:f>
        <x:v>0.05820499243188926</x:v>
      </x:c>
      <x:c r="Q16" s="94" t="n">
        <x:f>'Indexed Growth'!Q16/$B16-1</x:f>
        <x:v>0.07597186775223497</x:v>
      </x:c>
      <x:c r="R16" s="94" t="n">
        <x:f>'Indexed Growth'!R16/$B16-1</x:f>
        <x:v>-0.009329952241632022</x:v>
      </x:c>
      <x:c r="S16" s="98" t="n">
        <x:f>0</x:f>
        <x:v>0</x:v>
      </x:c>
    </x:row>
    <x:row r="17">
      <x:c r="A17" s="45" t="n">
        <x:f>'Annual Values'!A17</x:f>
        <x:v>2012</x:v>
      </x:c>
      <x:c r="B17" s="91" t="n">
        <x:f>INDEX('Indexed Growth'!$C17:$R17,1,MATCH('Dashboard'!$B$4,'Indexed Growth'!$C$5:$R$5,0))</x:f>
        <x:v>132.51102509291889</x:v>
      </x:c>
      <x:c r="C17" s="94" t="n">
        <x:f>'Indexed Growth'!C17/$B17-1</x:f>
        <x:v>0.0000012277547905004127</x:v>
      </x:c>
      <x:c r="D17" s="94" t="n">
        <x:f>'Indexed Growth'!D17/$B17-1</x:f>
        <x:v>-0.00003262128601944081</x:v>
      </x:c>
      <x:c r="E17" s="94" t="n">
        <x:f>'Indexed Growth'!E17/$B17-1</x:f>
        <x:v>-0.00006491237888461843</x:v>
      </x:c>
      <x:c r="F17" s="94" t="n">
        <x:f>'Indexed Growth'!F17/$B17-1</x:f>
        <x:v>0</x:v>
      </x:c>
      <x:c r="G17" s="94" t="n">
        <x:f>'Indexed Growth'!G17/$B17-1</x:f>
        <x:v>-0.000015067475526819862</x:v>
      </x:c>
      <x:c r="H17" s="94" t="n">
        <x:f>'Indexed Growth'!H17/$B17-1</x:f>
        <x:v>-0.00008954659100268714</x:v>
      </x:c>
      <x:c r="I17" s="94" t="n">
        <x:f>'Indexed Growth'!I17/$B17-1</x:f>
        <x:v>-0.000020372943627111617</x:v>
      </x:c>
      <x:c r="J17" s="94" t="n">
        <x:f>'Indexed Growth'!J17/$B17-1</x:f>
        <x:v>-0.00001638042147500407</x:v>
      </x:c>
      <x:c r="K17" s="94" t="n">
        <x:f>'Indexed Growth'!K17/$B17-1</x:f>
        <x:v>-8.583213569890447e-7</x:v>
      </x:c>
      <x:c r="L17" s="94" t="n">
        <x:f>'Indexed Growth'!L17/$B17-1</x:f>
        <x:v>0.10226701662013249</x:v>
      </x:c>
      <x:c r="M17" s="94" t="n">
        <x:f>'Indexed Growth'!M17/$B17-1</x:f>
        <x:v>0.0900728435948992</x:v>
      </x:c>
      <x:c r="N17" s="94" t="n">
        <x:f>'Indexed Growth'!N17/$B17-1</x:f>
        <x:v>0.13050181708090425</x:v>
      </x:c>
      <x:c r="O17" s="94" t="n">
        <x:f>'Indexed Growth'!O17/$B17-1</x:f>
        <x:v>0.13388645532549437</x:v>
      </x:c>
      <x:c r="P17" s="94" t="n">
        <x:f>'Indexed Growth'!P17/$B17-1</x:f>
        <x:v>0.07872858586240872</x:v>
      </x:c>
      <x:c r="Q17" s="94" t="n">
        <x:f>'Indexed Growth'!Q17/$B17-1</x:f>
        <x:v>0.09623210929095616</x:v>
      </x:c>
      <x:c r="R17" s="94" t="n">
        <x:f>'Indexed Growth'!R17/$B17-1</x:f>
        <x:v>0.009188406448117803</x:v>
      </x:c>
      <x:c r="S17" s="98" t="n">
        <x:f>0</x:f>
        <x:v>0</x:v>
      </x:c>
    </x:row>
    <x:row r="18">
      <x:c r="A18" s="45" t="n">
        <x:f>'Annual Values'!A18</x:f>
        <x:v>2013</x:v>
      </x:c>
      <x:c r="B18" s="91" t="n">
        <x:f>INDEX('Indexed Growth'!$C18:$R18,1,MATCH('Dashboard'!$B$4,'Indexed Growth'!$C$5:$R$5,0))</x:f>
        <x:v>129.43869285790163</x:v>
      </x:c>
      <x:c r="C18" s="94" t="n">
        <x:f>'Indexed Growth'!C18/$B18-1</x:f>
        <x:v>0.0000012277547905004127</x:v>
      </x:c>
      <x:c r="D18" s="94" t="n">
        <x:f>'Indexed Growth'!D18/$B18-1</x:f>
        <x:v>-0.000032621286019218765</x:v>
      </x:c>
      <x:c r="E18" s="94" t="n">
        <x:f>'Indexed Growth'!E18/$B18-1</x:f>
        <x:v>-0.00006491237888484047</x:v>
      </x:c>
      <x:c r="F18" s="94" t="n">
        <x:f>'Indexed Growth'!F18/$B18-1</x:f>
        <x:v>0</x:v>
      </x:c>
      <x:c r="G18" s="94" t="n">
        <x:f>'Indexed Growth'!G18/$B18-1</x:f>
        <x:v>-0.000015067475526930885</x:v>
      </x:c>
      <x:c r="H18" s="94" t="n">
        <x:f>'Indexed Growth'!H18/$B18-1</x:f>
        <x:v>-0.00008954659100268714</x:v>
      </x:c>
      <x:c r="I18" s="94" t="n">
        <x:f>'Indexed Growth'!I18/$B18-1</x:f>
        <x:v>-0.000020372943627333662</x:v>
      </x:c>
      <x:c r="J18" s="94" t="n">
        <x:f>'Indexed Growth'!J18/$B18-1</x:f>
        <x:v>-0.000016380421475226115</x:v>
      </x:c>
      <x:c r="K18" s="94" t="n">
        <x:f>'Indexed Growth'!K18/$B18-1</x:f>
        <x:v>-8.583213573221116e-7</x:v>
      </x:c>
      <x:c r="L18" s="94" t="n">
        <x:f>'Indexed Growth'!L18/$B18-1</x:f>
        <x:v>0.15393276231756148</x:v>
      </x:c>
      <x:c r="M18" s="94" t="n">
        <x:f>'Indexed Growth'!M18/$B18-1</x:f>
        <x:v>0.172418983753855</x:v>
      </x:c>
      <x:c r="N18" s="94" t="n">
        <x:f>'Indexed Growth'!N18/$B18-1</x:f>
        <x:v>0.16885168472855594</x:v>
      </x:c>
      <x:c r="O18" s="94" t="n">
        <x:f>'Indexed Growth'!O18/$B18-1</x:f>
        <x:v>0.1727332819630063</x:v>
      </x:c>
      <x:c r="P18" s="94" t="n">
        <x:f>'Indexed Growth'!P18/$B18-1</x:f>
        <x:v>0.11655511717204114</x:v>
      </x:c>
      <x:c r="Q18" s="94" t="n">
        <x:f>'Indexed Growth'!Q18/$B18-1</x:f>
        <x:v>0.13603680012136854</x:v>
      </x:c>
      <x:c r="R18" s="94" t="n">
        <x:f>'Indexed Growth'!R18/$B18-1</x:f>
        <x:v>0.04650190967930534</x:v>
      </x:c>
      <x:c r="S18" s="98" t="n">
        <x:f>0</x:f>
        <x:v>0</x:v>
      </x:c>
    </x:row>
    <x:row r="19">
      <x:c r="A19" s="45" t="n">
        <x:f>'Annual Values'!A19</x:f>
        <x:v>2014</x:v>
      </x:c>
      <x:c r="B19" s="91" t="n">
        <x:f>INDEX('Indexed Growth'!$C19:$R19,1,MATCH('Dashboard'!$B$4,'Indexed Growth'!$C$5:$R$5,0))</x:f>
        <x:v>128.97901178888227</x:v>
      </x:c>
      <x:c r="C19" s="94" t="n">
        <x:f>'Indexed Growth'!C19/$B19-1</x:f>
        <x:v>0.000030599900786576484</x:v>
      </x:c>
      <x:c r="D19" s="94" t="n">
        <x:f>'Indexed Growth'!D19/$B19-1</x:f>
        <x:v>-0.000020475790784901804</x:v>
      </x:c>
      <x:c r="E19" s="94" t="n">
        <x:f>'Indexed Growth'!E19/$B19-1</x:f>
        <x:v>-0.00006499709187934855</x:v>
      </x:c>
      <x:c r="F19" s="94" t="n">
        <x:f>'Indexed Growth'!F19/$B19-1</x:f>
        <x:v>0</x:v>
      </x:c>
      <x:c r="G19" s="94" t="n">
        <x:f>'Indexed Growth'!G19/$B19-1</x:f>
        <x:v>-0.000004455220331323062</x:v>
      </x:c>
      <x:c r="H19" s="94" t="n">
        <x:f>'Indexed Growth'!H19/$B19-1</x:f>
        <x:v>-0.00007605908169383557</x:v>
      </x:c>
      <x:c r="I19" s="94" t="n">
        <x:f>'Indexed Growth'!I19/$B19-1</x:f>
        <x:v>-0.000018053976433285435</x:v>
      </x:c>
      <x:c r="J19" s="94" t="n">
        <x:f>'Indexed Growth'!J19/$B19-1</x:f>
        <x:v>-0.000018132237071810664</x:v>
      </x:c>
      <x:c r="K19" s="94" t="n">
        <x:f>'Indexed Growth'!K19/$B19-1</x:f>
        <x:v>-0.000016772873724257842</x:v>
      </x:c>
      <x:c r="L19" s="94" t="n">
        <x:f>'Indexed Growth'!L19/$B19-1</x:f>
        <x:v>0.1771737848339181</x:v>
      </x:c>
      <x:c r="M19" s="94" t="n">
        <x:f>'Indexed Growth'!M19/$B19-1</x:f>
        <x:v>0.17113978928163465</x:v>
      </x:c>
      <x:c r="N19" s="94" t="n">
        <x:f>'Indexed Growth'!N19/$B19-1</x:f>
        <x:v>0.19238355635203797</x:v>
      </x:c>
      <x:c r="O19" s="94" t="n">
        <x:f>'Indexed Growth'!O19/$B19-1</x:f>
        <x:v>0.1862874413086748</x:v>
      </x:c>
      <x:c r="P19" s="94" t="n">
        <x:f>'Indexed Growth'!P19/$B19-1</x:f>
        <x:v>0.12462052941547808</x:v>
      </x:c>
      <x:c r="Q19" s="94" t="n">
        <x:f>'Indexed Growth'!Q19/$B19-1</x:f>
        <x:v>0.14500129781808346</x:v>
      </x:c>
      <x:c r="R19" s="94" t="n">
        <x:f>'Indexed Growth'!R19/$B19-1</x:f>
        <x:v>0.08381351641728885</x:v>
      </x:c>
      <x:c r="S19" s="98" t="n">
        <x:f>0</x:f>
        <x:v>0</x:v>
      </x:c>
    </x:row>
    <x:row r="20">
      <x:c r="A20" s="45" t="n">
        <x:f>'Annual Values'!A20</x:f>
        <x:v>2015</x:v>
      </x:c>
      <x:c r="B20" s="91" t="n">
        <x:f>INDEX('Indexed Growth'!$C20:$R20,1,MATCH('Dashboard'!$B$4,'Indexed Growth'!$C$5:$R$5,0))</x:f>
        <x:v>130.26885758356798</x:v>
      </x:c>
      <x:c r="C20" s="94" t="n">
        <x:f>'Indexed Growth'!C20/$B20-1</x:f>
        <x:v>0.000010207665120942622</x:v>
      </x:c>
      <x:c r="D20" s="94" t="n">
        <x:f>'Indexed Growth'!D20/$B20-1</x:f>
        <x:v>-0.000004995155761355896</x:v>
      </x:c>
      <x:c r="E20" s="94" t="n">
        <x:f>'Indexed Growth'!E20/$B20-1</x:f>
        <x:v>-0.00006235098936258066</x:v>
      </x:c>
      <x:c r="F20" s="94" t="n">
        <x:f>'Indexed Growth'!F20/$B20-1</x:f>
        <x:v>0</x:v>
      </x:c>
      <x:c r="G20" s="94" t="n">
        <x:f>'Indexed Growth'!G20/$B20-1</x:f>
        <x:v>-0.000009914436173152907</x:v>
      </x:c>
      <x:c r="H20" s="94" t="n">
        <x:f>'Indexed Growth'!H20/$B20-1</x:f>
        <x:v>-0.000088834784937597</x:v>
      </x:c>
      <x:c r="I20" s="94" t="n">
        <x:f>'Indexed Growth'!I20/$B20-1</x:f>
        <x:v>-0.00002426022656576432</x:v>
      </x:c>
      <x:c r="J20" s="94" t="n">
        <x:f>'Indexed Growth'!J20/$B20-1</x:f>
        <x:v>-0.00001614631121982235</x:v>
      </x:c>
      <x:c r="K20" s="94" t="n">
        <x:f>'Indexed Growth'!K20/$B20-1</x:f>
        <x:v>0.000007131937282078837</x:v>
      </x:c>
      <x:c r="L20" s="94" t="n">
        <x:f>'Indexed Growth'!L20/$B20-1</x:f>
        <x:v>0.1395109294179777</x:v>
      </x:c>
      <x:c r="M20" s="94" t="n">
        <x:f>'Indexed Growth'!M20/$B20-1</x:f>
        <x:v>0.148894434565906</x:v>
      </x:c>
      <x:c r="N20" s="94" t="n">
        <x:f>'Indexed Growth'!N20/$B20-1</x:f>
        <x:v>0.1689553941659947</x:v>
      </x:c>
      <x:c r="O20" s="94" t="n">
        <x:f>'Indexed Growth'!O20/$B20-1</x:f>
        <x:v>0.17277865164783157</x:v>
      </x:c>
      <x:c r="P20" s="94" t="n">
        <x:f>'Indexed Growth'!P20/$B20-1</x:f>
        <x:v>0.11728149042130376</x:v>
      </x:c>
      <x:c r="Q20" s="94" t="n">
        <x:f>'Indexed Growth'!Q20/$B20-1</x:f>
        <x:v>0.138674109370293</x:v>
      </x:c>
      <x:c r="R20" s="94" t="n">
        <x:f>'Indexed Growth'!R20/$B20-1</x:f>
        <x:v>0.11100926543814404</x:v>
      </x:c>
      <x:c r="S20" s="98" t="n">
        <x:f>0</x:f>
        <x:v>0</x:v>
      </x:c>
    </x:row>
    <x:row r="21">
      <x:c r="A21" s="45" t="n">
        <x:f>'Annual Values'!A21</x:f>
        <x:v>2016</x:v>
      </x:c>
      <x:c r="B21" s="91" t="n">
        <x:f>INDEX('Indexed Growth'!$C21:$R21,1,MATCH('Dashboard'!$B$4,'Indexed Growth'!$C$5:$R$5,0))</x:f>
        <x:v>131.79069003197415</x:v>
      </x:c>
      <x:c r="C21" s="94" t="n">
        <x:f>'Indexed Growth'!C21/$B21-1</x:f>
        <x:v>0.000028534190581686047</x:v>
      </x:c>
      <x:c r="D21" s="94" t="n">
        <x:f>'Indexed Growth'!D21/$B21-1</x:f>
        <x:v>-0.000014299210691071096</x:v>
      </x:c>
      <x:c r="E21" s="94" t="n">
        <x:f>'Indexed Growth'!E21/$B21-1</x:f>
        <x:v>-0.00006463815236623649</x:v>
      </x:c>
      <x:c r="F21" s="94" t="n">
        <x:f>'Indexed Growth'!F21/$B21-1</x:f>
        <x:v>0</x:v>
      </x:c>
      <x:c r="G21" s="94" t="n">
        <x:f>'Indexed Growth'!G21/$B21-1</x:f>
        <x:v>-0.000011021181716364126</x:v>
      </x:c>
      <x:c r="H21" s="94" t="n">
        <x:f>'Indexed Growth'!H21/$B21-1</x:f>
        <x:v>-0.000030585504797397967</x:v>
      </x:c>
      <x:c r="I21" s="94" t="n">
        <x:f>'Indexed Growth'!I21/$B21-1</x:f>
        <x:v>-0.00002681237437185402</x:v>
      </x:c>
      <x:c r="J21" s="94" t="n">
        <x:f>'Indexed Growth'!J21/$B21-1</x:f>
        <x:v>-0.000019430683901755508</x:v>
      </x:c>
      <x:c r="K21" s="94" t="n">
        <x:f>'Indexed Growth'!K21/$B21-1</x:f>
        <x:v>0.000013471040321233474</x:v>
      </x:c>
      <x:c r="L21" s="94" t="n">
        <x:f>'Indexed Growth'!L21/$B21-1</x:f>
        <x:v>0.1767033565233762</x:v>
      </x:c>
      <x:c r="M21" s="94" t="n">
        <x:f>'Indexed Growth'!M21/$B21-1</x:f>
        <x:v>0.17639284055742688</x:v>
      </x:c>
      <x:c r="N21" s="94" t="n">
        <x:f>'Indexed Growth'!N21/$B21-1</x:f>
        <x:v>0.1799435328055532</x:v>
      </x:c>
      <x:c r="O21" s="94" t="n">
        <x:f>'Indexed Growth'!O21/$B21-1</x:f>
        <x:v>0.1857391276090412</x:v>
      </x:c>
      <x:c r="P21" s="94" t="n">
        <x:f>'Indexed Growth'!P21/$B21-1</x:f>
        <x:v>0.13040423336112394</x:v>
      </x:c>
      <x:c r="Q21" s="94" t="n">
        <x:f>'Indexed Growth'!Q21/$B21-1</x:f>
        <x:v>0.1497813599915987</x:v>
      </x:c>
      <x:c r="R21" s="94" t="n">
        <x:f>'Indexed Growth'!R21/$B21-1</x:f>
        <x:v>0.12717161281757305</x:v>
      </x:c>
      <x:c r="S21" s="98" t="n">
        <x:f>0</x:f>
        <x:v>0</x:v>
      </x:c>
    </x:row>
    <x:row r="22">
      <x:c r="A22" s="45" t="n">
        <x:f>'Annual Values'!A22</x:f>
        <x:v>2017</x:v>
      </x:c>
      <x:c r="B22" s="91" t="n">
        <x:f>INDEX('Indexed Growth'!$C22:$R22,1,MATCH('Dashboard'!$B$4,'Indexed Growth'!$C$5:$R$5,0))</x:f>
        <x:v>133.93610260558088</x:v>
      </x:c>
      <x:c r="C22" s="94" t="n">
        <x:f>'Indexed Growth'!C22/$B22-1</x:f>
        <x:v>0.000011457114192703344</x:v>
      </x:c>
      <x:c r="D22" s="94" t="n">
        <x:f>'Indexed Growth'!D22/$B22-1</x:f>
        <x:v>-0.000017254524593002252</x:v>
      </x:c>
      <x:c r="E22" s="94" t="n">
        <x:f>'Indexed Growth'!E22/$B22-1</x:f>
        <x:v>-0.00007231084815373379</x:v>
      </x:c>
      <x:c r="F22" s="94" t="n">
        <x:f>'Indexed Growth'!F22/$B22-1</x:f>
        <x:v>0</x:v>
      </x:c>
      <x:c r="G22" s="94" t="n">
        <x:f>'Indexed Growth'!G22/$B22-1</x:f>
        <x:v>-0.000030159537003138226</x:v>
      </x:c>
      <x:c r="H22" s="94" t="n">
        <x:f>'Indexed Growth'!H22/$B22-1</x:f>
        <x:v>-0.0001033475899124836</x:v>
      </x:c>
      <x:c r="I22" s="94" t="n">
        <x:f>'Indexed Growth'!I22/$B22-1</x:f>
        <x:v>-0.00003069657758747457</x:v>
      </x:c>
      <x:c r="J22" s="94" t="n">
        <x:f>'Indexed Growth'!J22/$B22-1</x:f>
        <x:v>-0.00003415723937760795</x:v>
      </x:c>
      <x:c r="K22" s="94" t="n">
        <x:f>'Indexed Growth'!K22/$B22-1</x:f>
        <x:v>-0.000012658927980635504</x:v>
      </x:c>
      <x:c r="L22" s="94" t="n">
        <x:f>'Indexed Growth'!L22/$B22-1</x:f>
        <x:v>0.18050378388755495</x:v>
      </x:c>
      <x:c r="M22" s="94" t="n">
        <x:f>'Indexed Growth'!M22/$B22-1</x:f>
        <x:v>0.17816361927606605</x:v>
      </x:c>
      <x:c r="N22" s="94" t="n">
        <x:f>'Indexed Growth'!N22/$B22-1</x:f>
        <x:v>0.1878583280298327</x:v>
      </x:c>
      <x:c r="O22" s="94" t="n">
        <x:f>'Indexed Growth'!O22/$B22-1</x:f>
        <x:v>0.19737859525529333</x:v>
      </x:c>
      <x:c r="P22" s="94" t="n">
        <x:f>'Indexed Growth'!P22/$B22-1</x:f>
        <x:v>0.14244843223577996</x:v>
      </x:c>
      <x:c r="Q22" s="94" t="n">
        <x:f>'Indexed Growth'!Q22/$B22-1</x:f>
        <x:v>0.16125780500189357</x:v>
      </x:c>
      <x:c r="R22" s="94" t="n">
        <x:f>'Indexed Growth'!R22/$B22-1</x:f>
        <x:v>0.14391459412384644</x:v>
      </x:c>
      <x:c r="S22" s="98" t="n">
        <x:f>0</x:f>
        <x:v>0</x:v>
      </x:c>
    </x:row>
    <x:row r="23">
      <x:c r="A23" s="45" t="n">
        <x:f>'Annual Values'!A23</x:f>
        <x:v>2018</x:v>
      </x:c>
      <x:c r="B23" s="91" t="n">
        <x:f>INDEX('Indexed Growth'!$C23:$R23,1,MATCH('Dashboard'!$B$4,'Indexed Growth'!$C$5:$R$5,0))</x:f>
        <x:v>136.17616573390558</x:v>
      </x:c>
      <x:c r="C23" s="94" t="n">
        <x:f>'Indexed Growth'!C23/$B23-1</x:f>
        <x:v>0.000025131449223669833</x:v>
      </x:c>
      <x:c r="D23" s="94" t="n">
        <x:f>'Indexed Growth'!D23/$B23-1</x:f>
        <x:v>-0.0000036743380938952797</x:v>
      </x:c>
      <x:c r="E23" s="94" t="n">
        <x:f>'Indexed Growth'!E23/$B23-1</x:f>
        <x:v>-0.00005604324128438698</x:v>
      </x:c>
      <x:c r="F23" s="94" t="n">
        <x:f>'Indexed Growth'!F23/$B23-1</x:f>
        <x:v>0</x:v>
      </x:c>
      <x:c r="G23" s="94" t="n">
        <x:f>'Indexed Growth'!G23/$B23-1</x:f>
        <x:v>-0.00002168938972380019</x:v>
      </x:c>
      <x:c r="H23" s="94" t="n">
        <x:f>'Indexed Growth'!H23/$B23-1</x:f>
        <x:v>-0.00008418154463118999</x:v>
      </x:c>
      <x:c r="I23" s="94" t="n">
        <x:f>'Indexed Growth'!I23/$B23-1</x:f>
        <x:v>-0.000021499970478067176</x:v>
      </x:c>
      <x:c r="J23" s="94" t="n">
        <x:f>'Indexed Growth'!J23/$B23-1</x:f>
        <x:v>-0.000034366885717562745</x:v>
      </x:c>
      <x:c r="K23" s="94" t="n">
        <x:f>'Indexed Growth'!K23/$B23-1</x:f>
        <x:v>-0.000035332229066264986</x:v>
      </x:c>
      <x:c r="L23" s="94" t="n">
        <x:f>'Indexed Growth'!L23/$B23-1</x:f>
        <x:v>0.20357727460081554</x:v>
      </x:c>
      <x:c r="M23" s="94" t="n">
        <x:f>'Indexed Growth'!M23/$B23-1</x:f>
        <x:v>0.18785481175757024</x:v>
      </x:c>
      <x:c r="N23" s="94" t="n">
        <x:f>'Indexed Growth'!N23/$B23-1</x:f>
        <x:v>0.20741871242612997</x:v>
      </x:c>
      <x:c r="O23" s="94" t="n">
        <x:f>'Indexed Growth'!O23/$B23-1</x:f>
        <x:v>0.21678655356534748</x:v>
      </x:c>
      <x:c r="P23" s="94" t="n">
        <x:f>'Indexed Growth'!P23/$B23-1</x:f>
        <x:v>0.16033811162032818</x:v>
      </x:c>
      <x:c r="Q23" s="94" t="n">
        <x:f>'Indexed Growth'!Q23/$B23-1</x:f>
        <x:v>0.17822503089638286</x:v>
      </x:c>
      <x:c r="R23" s="94" t="n">
        <x:f>'Indexed Growth'!R23/$B23-1</x:f>
        <x:v>0.15436478072190507</x:v>
      </x:c>
      <x:c r="S23" s="98" t="n">
        <x:f>0</x:f>
        <x:v>0</x:v>
      </x:c>
    </x:row>
    <x:row r="24">
      <x:c r="A24" s="45" t="n">
        <x:f>'Annual Values'!A24</x:f>
        <x:v>2019</x:v>
      </x:c>
      <x:c r="B24" s="91" t="n">
        <x:f>INDEX('Indexed Growth'!$C24:$R24,1,MATCH('Dashboard'!$B$4,'Indexed Growth'!$C$5:$R$5,0))</x:f>
        <x:v>138.44221136744696</x:v>
      </x:c>
      <x:c r="C24" s="94" t="n">
        <x:f>'Indexed Growth'!C24/$B24-1</x:f>
        <x:v>0.00001713782984547052</x:v>
      </x:c>
      <x:c r="D24" s="94" t="n">
        <x:f>'Indexed Growth'!D24/$B24-1</x:f>
        <x:v>-0.0000032525516896475537</x:v>
      </x:c>
      <x:c r="E24" s="94" t="n">
        <x:f>'Indexed Growth'!E24/$B24-1</x:f>
        <x:v>-0.00006730433617319065</x:v>
      </x:c>
      <x:c r="F24" s="94" t="n">
        <x:f>'Indexed Growth'!F24/$B24-1</x:f>
        <x:v>0</x:v>
      </x:c>
      <x:c r="G24" s="94" t="n">
        <x:f>'Indexed Growth'!G24/$B24-1</x:f>
        <x:v>-0.000020797058156607484</x:v>
      </x:c>
      <x:c r="H24" s="94" t="n">
        <x:f>'Indexed Growth'!H24/$B24-1</x:f>
        <x:v>-0.00010589192904097988</x:v>
      </x:c>
      <x:c r="I24" s="94" t="n">
        <x:f>'Indexed Growth'!I24/$B24-1</x:f>
        <x:v>-0.000028559877982226034</x:v>
      </x:c>
      <x:c r="J24" s="94" t="n">
        <x:f>'Indexed Growth'!J24/$B24-1</x:f>
        <x:v>-0.000035707615160363027</x:v>
      </x:c>
      <x:c r="K24" s="94" t="n">
        <x:f>'Indexed Growth'!K24/$B24-1</x:f>
        <x:v>-0.00003906459367775117</x:v>
      </x:c>
      <x:c r="L24" s="94" t="n">
        <x:f>'Indexed Growth'!L24/$B24-1</x:f>
        <x:v>0.22818370080834316</x:v>
      </x:c>
      <x:c r="M24" s="94" t="n">
        <x:f>'Indexed Growth'!M24/$B24-1</x:f>
        <x:v>0.2067979191918763</x:v>
      </x:c>
      <x:c r="N24" s="94" t="n">
        <x:f>'Indexed Growth'!N24/$B24-1</x:f>
        <x:v>0.2163412063282526</x:v>
      </x:c>
      <x:c r="O24" s="94" t="n">
        <x:f>'Indexed Growth'!O24/$B24-1</x:f>
        <x:v>0.22163583381717578</x:v>
      </x:c>
      <x:c r="P24" s="94" t="n">
        <x:f>'Indexed Growth'!P24/$B24-1</x:f>
        <x:v>0.1635118827351134</x:v>
      </x:c>
      <x:c r="Q24" s="94" t="n">
        <x:f>'Indexed Growth'!Q24/$B24-1</x:f>
        <x:v>0.1822546531537499</x:v>
      </x:c>
      <x:c r="R24" s="94" t="n">
        <x:f>'Indexed Growth'!R24/$B24-1</x:f>
        <x:v>0.15450348727858643</x:v>
      </x:c>
      <x:c r="S24" s="98" t="n">
        <x:f>0</x:f>
        <x:v>0</x:v>
      </x:c>
    </x:row>
    <x:row r="25">
      <x:c r="A25" s="45" t="n">
        <x:f>'Annual Values'!A25</x:f>
        <x:v>2020</x:v>
      </x:c>
      <x:c r="B25" s="91" t="n">
        <x:f>INDEX('Indexed Growth'!$C25:$R25,1,MATCH('Dashboard'!$B$4,'Indexed Growth'!$C$5:$R$5,0))</x:f>
        <x:v>142.38598448069467</x:v>
      </x:c>
      <x:c r="C25" s="94" t="n">
        <x:f>'Indexed Growth'!C25/$B25-1</x:f>
        <x:v>0.000018186401715025724</x:v>
      </x:c>
      <x:c r="D25" s="94" t="n">
        <x:f>'Indexed Growth'!D25/$B25-1</x:f>
        <x:v>-0.000010058511511479296</x:v>
      </x:c>
      <x:c r="E25" s="94" t="n">
        <x:f>'Indexed Growth'!E25/$B25-1</x:f>
        <x:v>-0.00006579484832902605</x:v>
      </x:c>
      <x:c r="F25" s="94" t="n">
        <x:f>'Indexed Growth'!F25/$B25-1</x:f>
        <x:v>0</x:v>
      </x:c>
      <x:c r="G25" s="94" t="n">
        <x:f>'Indexed Growth'!G25/$B25-1</x:f>
        <x:v>-0.000019608037545859602</x:v>
      </x:c>
      <x:c r="H25" s="94" t="n">
        <x:f>'Indexed Growth'!H25/$B25-1</x:f>
        <x:v>-0.00006286290739698774</x:v>
      </x:c>
      <x:c r="I25" s="94" t="n">
        <x:f>'Indexed Growth'!I25/$B25-1</x:f>
        <x:v>-0.00002868036737635471</x:v>
      </x:c>
      <x:c r="J25" s="94" t="n">
        <x:f>'Indexed Growth'!J25/$B25-1</x:f>
        <x:v>-0.000038572132421865746</x:v>
      </x:c>
      <x:c r="K25" s="94" t="n">
        <x:f>'Indexed Growth'!K25/$B25-1</x:f>
        <x:v>-0.00000286603545174291</x:v>
      </x:c>
      <x:c r="L25" s="94" t="n">
        <x:f>'Indexed Growth'!L25/$B25-1</x:f>
        <x:v>0.26665869984027646</x:v>
      </x:c>
      <x:c r="M25" s="94" t="n">
        <x:f>'Indexed Growth'!M25/$B25-1</x:f>
        <x:v>0.22982439300532542</x:v>
      </x:c>
      <x:c r="N25" s="94" t="n">
        <x:f>'Indexed Growth'!N25/$B25-1</x:f>
        <x:v>0.2151764689178317</x:v>
      </x:c>
      <x:c r="O25" s="94" t="n">
        <x:f>'Indexed Growth'!O25/$B25-1</x:f>
        <x:v>0.22374211316625714</x:v>
      </x:c>
      <x:c r="P25" s="94" t="n">
        <x:f>'Indexed Growth'!P25/$B25-1</x:f>
        <x:v>0.16677670608690387</x:v>
      </x:c>
      <x:c r="Q25" s="94" t="n">
        <x:f>'Indexed Growth'!Q25/$B25-1</x:f>
        <x:v>0.18545533524544733</x:v>
      </x:c>
      <x:c r="R25" s="94" t="n">
        <x:f>'Indexed Growth'!R25/$B25-1</x:f>
        <x:v>0.16485962013314892</x:v>
      </x:c>
      <x:c r="S25" s="98" t="n">
        <x:f>0</x:f>
        <x:v>0</x:v>
      </x:c>
    </x:row>
    <x:row r="26">
      <x:c r="A26" s="45" t="n">
        <x:f>'Annual Values'!A26</x:f>
        <x:v>2021</x:v>
      </x:c>
      <x:c r="B26" s="91" t="n">
        <x:f>INDEX('Indexed Growth'!$C26:$R26,1,MATCH('Dashboard'!$B$4,'Indexed Growth'!$C$5:$R$5,0))</x:f>
        <x:v>143.80945458792334</x:v>
      </x:c>
      <x:c r="C26" s="94" t="n">
        <x:f>'Indexed Growth'!C26/$B26-1</x:f>
        <x:v>0.000009221418069138565</x:v>
      </x:c>
      <x:c r="D26" s="94" t="n">
        <x:f>'Indexed Growth'!D26/$B26-1</x:f>
        <x:v>-0.000026998688787638336</x:v>
      </x:c>
      <x:c r="E26" s="94" t="n">
        <x:f>'Indexed Growth'!E26/$B26-1</x:f>
        <x:v>-0.0000644769727337069</x:v>
      </x:c>
      <x:c r="F26" s="94" t="n">
        <x:f>'Indexed Growth'!F26/$B26-1</x:f>
        <x:v>0</x:v>
      </x:c>
      <x:c r="G26" s="94" t="n">
        <x:f>'Indexed Growth'!G26/$B26-1</x:f>
        <x:v>-0.000020262261338332976</x:v>
      </x:c>
      <x:c r="H26" s="94" t="n">
        <x:f>'Indexed Growth'!H26/$B26-1</x:f>
        <x:v>-0.00007709842128955646</x:v>
      </x:c>
      <x:c r="I26" s="94" t="n">
        <x:f>'Indexed Growth'!I26/$B26-1</x:f>
        <x:v>-0.000026613211049242302</x:v>
      </x:c>
      <x:c r="J26" s="94" t="n">
        <x:f>'Indexed Growth'!J26/$B26-1</x:f>
        <x:v>-0.00003664288551452621</x:v>
      </x:c>
      <x:c r="K26" s="94" t="n">
        <x:f>'Indexed Growth'!K26/$B26-1</x:f>
        <x:v>-0.000027662362348968017</x:v>
      </x:c>
      <x:c r="L26" s="94" t="n">
        <x:f>'Indexed Growth'!L26/$B26-1</x:f>
        <x:v>0.3105732554028273</x:v>
      </x:c>
      <x:c r="M26" s="94" t="n">
        <x:f>'Indexed Growth'!M26/$B26-1</x:f>
        <x:v>0.2540775913166471</x:v>
      </x:c>
      <x:c r="N26" s="94" t="n">
        <x:f>'Indexed Growth'!N26/$B26-1</x:f>
        <x:v>0.2544209108064972</x:v>
      </x:c>
      <x:c r="O26" s="94" t="n">
        <x:f>'Indexed Growth'!O26/$B26-1</x:f>
        <x:v>0.26117617132677085</x:v>
      </x:c>
      <x:c r="P26" s="94" t="n">
        <x:f>'Indexed Growth'!P26/$B26-1</x:f>
        <x:v>0.20100957756621418</x:v>
      </x:c>
      <x:c r="Q26" s="94" t="n">
        <x:f>'Indexed Growth'!Q26/$B26-1</x:f>
        <x:v>0.2184412506344653</x:v>
      </x:c>
      <x:c r="R26" s="94" t="n">
        <x:f>'Indexed Growth'!R26/$B26-1</x:f>
        <x:v>0.20142782223169964</x:v>
      </x:c>
      <x:c r="S26" s="98" t="n">
        <x:f>0</x:f>
        <x:v>0</x:v>
      </x:c>
    </x:row>
    <x:row r="27">
      <x:c r="A27" s="45" t="n">
        <x:f>'Annual Values'!A27</x:f>
        <x:v>2022</x:v>
      </x:c>
      <x:c r="B27" s="91" t="n">
        <x:f>INDEX('Indexed Growth'!$C27:$R27,1,MATCH('Dashboard'!$B$4,'Indexed Growth'!$C$5:$R$5,0))</x:f>
        <x:v>147.28925439373012</x:v>
      </x:c>
      <x:c r="C27" s="94" t="n">
        <x:f>'Indexed Growth'!C27/$B27-1</x:f>
        <x:v>0.000008988060445469515</x:v>
      </x:c>
      <x:c r="D27" s="94" t="n">
        <x:f>'Indexed Growth'!D27/$B27-1</x:f>
        <x:v>-0.000007521561005807698</x:v>
      </x:c>
      <x:c r="E27" s="94" t="n">
        <x:f>'Indexed Growth'!E27/$B27-1</x:f>
        <x:v>-0.000054372841269634264</x:v>
      </x:c>
      <x:c r="F27" s="94" t="n">
        <x:f>'Indexed Growth'!F27/$B27-1</x:f>
        <x:v>0</x:v>
      </x:c>
      <x:c r="G27" s="94" t="n">
        <x:f>'Indexed Growth'!G27/$B27-1</x:f>
        <x:v>-0.000016144192107381272</x:v>
      </x:c>
      <x:c r="H27" s="94" t="n">
        <x:f>'Indexed Growth'!H27/$B27-1</x:f>
        <x:v>-0.00009764843838244719</x:v>
      </x:c>
      <x:c r="I27" s="94" t="n">
        <x:f>'Indexed Growth'!I27/$B27-1</x:f>
        <x:v>-0.000015157902378604149</x:v>
      </x:c>
      <x:c r="J27" s="94" t="n">
        <x:f>'Indexed Growth'!J27/$B27-1</x:f>
        <x:v>-0.000030095927854967286</x:v>
      </x:c>
      <x:c r="K27" s="94" t="n">
        <x:f>'Indexed Growth'!K27/$B27-1</x:f>
        <x:v>-0.000021200503472651455</x:v>
      </x:c>
      <x:c r="L27" s="94" t="n">
        <x:f>'Indexed Growth'!L27/$B27-1</x:f>
        <x:v>0.3327432153013603</x:v>
      </x:c>
      <x:c r="M27" s="94" t="n">
        <x:f>'Indexed Growth'!M27/$B27-1</x:f>
        <x:v>0.2861949675466793</x:v>
      </x:c>
      <x:c r="N27" s="94" t="n">
        <x:f>'Indexed Growth'!N27/$B27-1</x:f>
        <x:v>0.2695890977959321</x:v>
      </x:c>
      <x:c r="O27" s="94" t="n">
        <x:f>'Indexed Growth'!O27/$B27-1</x:f>
        <x:v>0.2808041050361867</x:v>
      </x:c>
      <x:c r="P27" s="94" t="n">
        <x:f>'Indexed Growth'!P27/$B27-1</x:f>
        <x:v>0.22115666143628876</x:v>
      </x:c>
      <x:c r="Q27" s="94" t="n">
        <x:f>'Indexed Growth'!Q27/$B27-1</x:f>
        <x:v>0.23620257370662423</x:v>
      </x:c>
      <x:c r="R27" s="94" t="n">
        <x:f>'Indexed Growth'!R27/$B27-1</x:f>
        <x:v>0.24035552759911094</x:v>
      </x:c>
      <x:c r="S27" s="98" t="n">
        <x:f>0</x:f>
        <x:v>0</x:v>
      </x:c>
    </x:row>
    <x:row r="28">
      <x:c r="A28" s="45" t="n">
        <x:f>'Annual Values'!A28</x:f>
        <x:v>2023</x:v>
      </x:c>
      <x:c r="B28" s="91" t="n">
        <x:f>INDEX('Indexed Growth'!$C28:$R28,1,MATCH('Dashboard'!$B$4,'Indexed Growth'!$C$5:$R$5,0))</x:f>
        <x:v>153.72363622132062</x:v>
      </x:c>
      <x:c r="C28" s="94" t="n">
        <x:f>'Indexed Growth'!C28/$B28-1</x:f>
        <x:v>0.00004149079158444202</x:v>
      </x:c>
      <x:c r="D28" s="94" t="n">
        <x:f>'Indexed Growth'!D28/$B28-1</x:f>
        <x:v>-0.0000034572086178297212</x:v>
      </x:c>
      <x:c r="E28" s="94" t="n">
        <x:f>'Indexed Growth'!E28/$B28-1</x:f>
        <x:v>-0.000048315924569997115</x:v>
      </x:c>
      <x:c r="F28" s="94" t="n">
        <x:f>'Indexed Growth'!F28/$B28-1</x:f>
        <x:v>0</x:v>
      </x:c>
      <x:c r="G28" s="94" t="n">
        <x:f>'Indexed Growth'!G28/$B28-1</x:f>
        <x:v>-0.000013271238296752585</x:v>
      </x:c>
      <x:c r="H28" s="94" t="n">
        <x:f>'Indexed Growth'!H28/$B28-1</x:f>
        <x:v>-0.00009334658345316882</x:v>
      </x:c>
      <x:c r="I28" s="94" t="n">
        <x:f>'Indexed Growth'!I28/$B28-1</x:f>
        <x:v>-0.00001372579323721812</x:v>
      </x:c>
      <x:c r="J28" s="94" t="n">
        <x:f>'Indexed Growth'!J28/$B28-1</x:f>
        <x:v>-0.000034157846621085675</x:v>
      </x:c>
      <x:c r="K28" s="94" t="n">
        <x:f>'Indexed Growth'!K28/$B28-1</x:f>
        <x:v>-0.000042265013521447514</x:v>
      </x:c>
      <x:c r="L28" s="94" t="n">
        <x:f>'Indexed Growth'!L28/$B28-1</x:f>
        <x:v>0.3934816505814114</x:v>
      </x:c>
      <x:c r="M28" s="94" t="n">
        <x:f>'Indexed Growth'!M28/$B28-1</x:f>
        <x:v>0.33176678610457633</x:v>
      </x:c>
      <x:c r="N28" s="94" t="n">
        <x:f>'Indexed Growth'!N28/$B28-1</x:f>
        <x:v>0.2967418583032435</x:v>
      </x:c>
      <x:c r="O28" s="94" t="n">
        <x:f>'Indexed Growth'!O28/$B28-1</x:f>
        <x:v>0.3070018861463326</x:v>
      </x:c>
      <x:c r="P28" s="94" t="n">
        <x:f>'Indexed Growth'!P28/$B28-1</x:f>
        <x:v>0.24425862503686013</x:v>
      </x:c>
      <x:c r="Q28" s="94" t="n">
        <x:f>'Indexed Growth'!Q28/$B28-1</x:f>
        <x:v>0.256984941324222</x:v>
      </x:c>
      <x:c r="R28" s="94" t="n">
        <x:f>'Indexed Growth'!R28/$B28-1</x:f>
        <x:v>0.25775393632722166</x:v>
      </x:c>
      <x:c r="S28" s="98" t="n">
        <x:f>0</x:f>
        <x:v>0</x:v>
      </x:c>
    </x:row>
    <x:row r="29">
      <x:c r="A29" s="45" t="n">
        <x:f>'Annual Values'!A29</x:f>
        <x:v>2024</x:v>
      </x:c>
      <x:c r="B29" s="91" t="n">
        <x:f>INDEX('Indexed Growth'!$C29:$R29,1,MATCH('Dashboard'!$B$4,'Indexed Growth'!$C$5:$R$5,0))</x:f>
        <x:v>161.3921870467039</x:v>
      </x:c>
      <x:c r="C29" s="94" t="n">
        <x:f>'Indexed Growth'!C29/$B29-1</x:f>
        <x:v>0.00003242761920607684</x:v>
      </x:c>
      <x:c r="D29" s="94" t="n">
        <x:f>'Indexed Growth'!D29/$B29-1</x:f>
        <x:v>-0.000025952369692272548</x:v>
      </x:c>
      <x:c r="E29" s="94" t="n">
        <x:f>'Indexed Growth'!E29/$B29-1</x:f>
        <x:v>-0.00006794063734127942</x:v>
      </x:c>
      <x:c r="F29" s="94" t="n">
        <x:f>'Indexed Growth'!F29/$B29-1</x:f>
        <x:v>0</x:v>
      </x:c>
      <x:c r="G29" s="94" t="n">
        <x:f>'Indexed Growth'!G29/$B29-1</x:f>
        <x:v>-0.00001813749116208463</x:v>
      </x:c>
      <x:c r="H29" s="94" t="n">
        <x:f>'Indexed Growth'!H29/$B29-1</x:f>
        <x:v>-0.00005961033416124195</x:v>
      </x:c>
      <x:c r="I29" s="94" t="n">
        <x:f>'Indexed Growth'!I29/$B29-1</x:f>
        <x:v>-0.000024368649374051365</x:v>
      </x:c>
      <x:c r="J29" s="94" t="n">
        <x:f>'Indexed Growth'!J29/$B29-1</x:f>
        <x:v>-0.00004596816375035395</x:v>
      </x:c>
      <x:c r="K29" s="94" t="n">
        <x:f>'Indexed Growth'!K29/$B29-1</x:f>
        <x:v>-0.00005557528009092483</x:v>
      </x:c>
      <x:c r="L29" s="94" t="n">
        <x:f>'Indexed Growth'!L29/$B29-1</x:f>
        <x:v>0.3815126892963905</x:v>
      </x:c>
      <x:c r="M29" s="94" t="n">
        <x:f>'Indexed Growth'!M29/$B29-1</x:f>
        <x:v>0.3344713796358123</x:v>
      </x:c>
      <x:c r="N29" s="94" t="n">
        <x:f>'Indexed Growth'!N29/$B29-1</x:f>
        <x:v>0.3050742278278946</x:v>
      </x:c>
      <x:c r="O29" s="94" t="n">
        <x:f>'Indexed Growth'!O29/$B29-1</x:f>
        <x:v>0.30592227957712304</x:v>
      </x:c>
      <x:c r="P29" s="94" t="n">
        <x:f>'Indexed Growth'!P29/$B29-1</x:f>
        <x:v>0.23908576861934594</x:v>
      </x:c>
      <x:c r="Q29" s="94" t="n">
        <x:f>'Indexed Growth'!Q29/$B29-1</x:f>
        <x:v>0.2525510124731165</x:v>
      </x:c>
      <x:c r="R29" s="94" t="n">
        <x:f>'Indexed Growth'!R29/$B29-1</x:f>
        <x:v>0.2692181758087471</x:v>
      </x:c>
      <x:c r="S29" s="98" t="n">
        <x:f>0</x:f>
        <x:v>0</x:v>
      </x:c>
    </x:row>
    <x:row r="30">
      <x:c r="A30" s="45" t="n">
        <x:f>'Annual Values'!A30</x:f>
        <x:v>2025</x:v>
      </x:c>
      <x:c r="B30" s="91" t="n">
        <x:f>INDEX('Indexed Growth'!$C30:$R30,1,MATCH('Dashboard'!$B$4,'Indexed Growth'!$C$5:$R$5,0))</x:f>
        <x:v>164.47111391488173</x:v>
      </x:c>
      <x:c r="C30" s="94" t="n">
        <x:f>'Indexed Growth'!C30/$B30-1</x:f>
        <x:v>0.000027132422817821578</x:v>
      </x:c>
      <x:c r="D30" s="94" t="n">
        <x:f>'Indexed Growth'!D30/$B30-1</x:f>
        <x:v>-0.00000941310819846386</x:v>
      </x:c>
      <x:c r="E30" s="94" t="n">
        <x:f>'Indexed Growth'!E30/$B30-1</x:f>
        <x:v>-0.00004245058813967528</x:v>
      </x:c>
      <x:c r="F30" s="94" t="n">
        <x:f>'Indexed Growth'!F30/$B30-1</x:f>
        <x:v>0</x:v>
      </x:c>
      <x:c r="G30" s="94" t="n">
        <x:f>'Indexed Growth'!G30/$B30-1</x:f>
        <x:v>-0.00000641197823125772</x:v>
      </x:c>
      <x:c r="H30" s="94" t="n">
        <x:f>'Indexed Growth'!H30/$B30-1</x:f>
        <x:v>-0.00005710371917377888</x:v>
      </x:c>
      <x:c r="I30" s="94" t="n">
        <x:f>'Indexed Growth'!I30/$B30-1</x:f>
        <x:v>-0.000009976207306805485</x:v>
      </x:c>
      <x:c r="J30" s="94" t="n">
        <x:f>'Indexed Growth'!J30/$B30-1</x:f>
        <x:v>-0.000026133509257730836</x:v>
      </x:c>
      <x:c r="K30" s="94" t="n">
        <x:f>'Indexed Growth'!K30/$B30-1</x:f>
        <x:v>-0.00002758307247152647</x:v>
      </x:c>
      <x:c r="L30" s="94" t="n">
        <x:f>'Indexed Growth'!L30/$B30-1</x:f>
        <x:v>0.41126214608841205</x:v>
      </x:c>
      <x:c r="M30" s="94" t="n">
        <x:f>'Indexed Growth'!M30/$B30-1</x:f>
        <x:v>0.3525439776498054</x:v>
      </x:c>
      <x:c r="N30" s="94" t="n">
        <x:f>'Indexed Growth'!N30/$B30-1</x:f>
        <x:v>0.3333787587037662</x:v>
      </x:c>
      <x:c r="O30" s="94" t="n">
        <x:f>'Indexed Growth'!O30/$B30-1</x:f>
        <x:v>0.33712464786967256</x:v>
      </x:c>
      <x:c r="P30" s="94" t="n">
        <x:f>'Indexed Growth'!P30/$B30-1</x:f>
        <x:v>0.26962193288849345</x:v>
      </x:c>
      <x:c r="Q30" s="94" t="n">
        <x:f>'Indexed Growth'!Q30/$B30-1</x:f>
        <x:v>0.2840729496355894</x:v>
      </x:c>
      <x:c r="R30" s="94" t="n">
        <x:f>'Indexed Growth'!R30/$B30-1</x:f>
        <x:v>0.28861565813074663</x:v>
      </x:c>
      <x:c r="S30" s="98" t="n">
        <x:f>0</x:f>
        <x:v>0</x:v>
      </x:c>
    </x:row>
    <x:row r="31">
      <x:c r="A31" s="45" t="n">
        <x:f>'Annual Values'!A31</x:f>
        <x:v>2026</x:v>
      </x:c>
      <x:c r="B31" s="91" t="n">
        <x:f>INDEX('Indexed Growth'!$C31:$R31,1,MATCH('Dashboard'!$B$4,'Indexed Growth'!$C$5:$R$5,0))</x:f>
        <x:v>166.1172912096821</x:v>
      </x:c>
      <x:c r="C31" s="94" t="n">
        <x:f>'Indexed Growth'!C31/$B31-1</x:f>
        <x:v>0.00002623343552365931</x:v>
      </x:c>
      <x:c r="D31" s="94" t="n">
        <x:f>'Indexed Growth'!D31/$B31-1</x:f>
        <x:v>-0.00002002120079502845</x:v>
      </x:c>
      <x:c r="E31" s="94" t="n">
        <x:f>'Indexed Growth'!E31/$B31-1</x:f>
        <x:v>-0.000056498366732160576</x:v>
      </x:c>
      <x:c r="F31" s="94" t="n">
        <x:f>'Indexed Growth'!F31/$B31-1</x:f>
        <x:v>0</x:v>
      </x:c>
      <x:c r="G31" s="94" t="n">
        <x:f>'Indexed Growth'!G31/$B31-1</x:f>
        <x:v>-0.000013640781202695074</x:v>
      </x:c>
      <x:c r="H31" s="94" t="n">
        <x:f>'Indexed Growth'!H31/$B31-1</x:f>
        <x:v>-0.00006592924189896543</x:v>
      </x:c>
      <x:c r="I31" s="94" t="n">
        <x:f>'Indexed Growth'!I31/$B31-1</x:f>
        <x:v>-0.000021266792711860383</x:v>
      </x:c>
      <x:c r="J31" s="94" t="n">
        <x:f>'Indexed Growth'!J31/$B31-1</x:f>
        <x:v>-0.00004043409155385369</x:v>
      </x:c>
      <x:c r="K31" s="94" t="n">
        <x:f>'Indexed Growth'!K31/$B31-1</x:f>
        <x:v>-0.000022058911549382998</x:v>
      </x:c>
      <x:c r="L31" s="94" t="n">
        <x:f>'Indexed Growth'!L31/$B31-1</x:f>
        <x:v>0.433488059368655</x:v>
      </x:c>
      <x:c r="M31" s="94" t="n">
        <x:f>'Indexed Growth'!M31/$B31-1</x:f>
        <x:v>0.38081569487943123</x:v>
      </x:c>
      <x:c r="N31" s="94" t="n">
        <x:f>'Indexed Growth'!N31/$B31-1</x:f>
        <x:v>0.35904650987860753</x:v>
      </x:c>
      <x:c r="O31" s="94" t="n">
        <x:f>'Indexed Growth'!O31/$B31-1</x:f>
        <x:v>0.3639354849658485</x:v>
      </x:c>
      <x:c r="P31" s="94" t="n">
        <x:f>'Indexed Growth'!P31/$B31-1</x:f>
        <x:v>0.2968255924460832</x:v>
      </x:c>
      <x:c r="Q31" s="94" t="n">
        <x:f>'Indexed Growth'!Q31/$B31-1</x:f>
        <x:v>0.3121643978694686</x:v>
      </x:c>
      <x:c r="R31" s="94" t="n">
        <x:f>'Indexed Growth'!R31/$B31-1</x:f>
        <x:v>0.29279894146264596</x:v>
      </x:c>
      <x:c r="S31" s="98" t="n">
        <x:f>0</x:f>
        <x:v>0</x:v>
      </x:c>
    </x:row>
    <x:row r="32">
      <x:c r="A32" s="70" t="str">
        <x:f>'Annual Values'!A32</x:f>
        <x:v>2027F</x:v>
      </x:c>
      <x:c r="B32" s="92" t="n">
        <x:f>INDEX('Indexed Growth'!$C32:$R32,1,MATCH('Dashboard'!$B$4,'Indexed Growth'!$C$5:$R$5,0))</x:f>
        <x:v>166.1172912096821</x:v>
      </x:c>
      <x:c r="C32" s="71" t="n">
        <x:f>'Indexed Growth'!C32/$B32-1</x:f>
        <x:v>0.00002623343552365931</x:v>
      </x:c>
      <x:c r="D32" s="71" t="n">
        <x:f>'Indexed Growth'!D32/$B32-1</x:f>
        <x:v>-0.00002002120079502845</x:v>
      </x:c>
      <x:c r="E32" s="71" t="n">
        <x:f>'Indexed Growth'!E32/$B32-1</x:f>
        <x:v>-0.000056498366732160576</x:v>
      </x:c>
      <x:c r="F32" s="71" t="n">
        <x:f>'Indexed Growth'!F32/$B32-1</x:f>
        <x:v>0</x:v>
      </x:c>
      <x:c r="G32" s="71" t="n">
        <x:f>'Indexed Growth'!G32/$B32-1</x:f>
        <x:v>-0.000013640781202695074</x:v>
      </x:c>
      <x:c r="H32" s="71" t="n">
        <x:f>'Indexed Growth'!H32/$B32-1</x:f>
        <x:v>-0.00006592924189896543</x:v>
      </x:c>
      <x:c r="I32" s="71" t="n">
        <x:f>'Indexed Growth'!I32/$B32-1</x:f>
        <x:v>-0.000021266792711860383</x:v>
      </x:c>
      <x:c r="J32" s="71" t="n">
        <x:f>'Indexed Growth'!J32/$B32-1</x:f>
        <x:v>-0.00004043409155385369</x:v>
      </x:c>
      <x:c r="K32" s="71" t="n">
        <x:f>'Indexed Growth'!K32/$B32-1</x:f>
        <x:v>-0.000022058911549382998</x:v>
      </x:c>
      <x:c r="L32" s="71" t="n">
        <x:f>'Indexed Growth'!L32/$B32-1</x:f>
        <x:v>0.48229493650136224</x:v>
      </x:c>
      <x:c r="M32" s="71" t="n">
        <x:f>'Indexed Growth'!M32/$B32-1</x:f>
        <x:v>0.4325532118323896</x:v>
      </x:c>
      <x:c r="N32" s="71" t="n">
        <x:f>'Indexed Growth'!N32/$B32-1</x:f>
        <x:v>0.41545184543824454</x:v>
      </x:c>
      <x:c r="O32" s="71" t="n">
        <x:f>'Indexed Growth'!O32/$B32-1</x:f>
        <x:v>0.41286417397782293</x:v>
      </x:c>
      <x:c r="P32" s="71" t="n">
        <x:f>'Indexed Growth'!P32/$B32-1</x:f>
        <x:v>0.345123305965938</x:v>
      </x:c>
      <x:c r="Q32" s="71" t="n">
        <x:f>'Indexed Growth'!Q32/$B32-1</x:f>
        <x:v>0.3634965131790495</x:v>
      </x:c>
      <x:c r="R32" s="71" t="n">
        <x:f>'Indexed Growth'!R32/$B32-1</x:f>
        <x:v>0.3341685075894507</x:v>
      </x:c>
      <x:c r="S32" s="99" t="n">
        <x:f>0</x:f>
        <x:v>0</x:v>
      </x:c>
    </x:row>
  </x:sheetData>
  <x:mergeCells>
    <x:mergeCell ref="A1:S1"/>
    <x:mergeCell ref="A2:S2"/>
  </x:mergeCells>
  <x:pageMargins left="0.7" right="0.7" top="0.75" bottom="0.75" header="0.3" footer="0.3"/>
  <x:tableParts count="1">
    <x:tablePart xmlns:r="http://schemas.openxmlformats.org/officeDocument/2006/relationships" r:id="R837d2eabff8e402c"/>
  </x:tableParts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2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6" hidden="0" customWidth="1"/>
    <x:col min="20" max="20" width="16" hidden="0" customWidth="1"/>
    <x:col min="21" max="21" width="16" hidden="0" customWidth="1"/>
    <x:col min="22" max="22" width="48" hidden="0" customWidth="1"/>
  </x:cols>
  <x:sheetData>
    <x:row r="1" ht="32" customHeight="1">
      <x:c r="A1" s="3" t="str">
        <x:v>Rest of U.S. GS Salary Source: Requested Grade/Step Profiles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</x:row>
    <x:row r="2" ht="34" customHeight="1">
      <x:c r="A2" s="7" t="str">
        <x:v>Gross salary is the published Rest of U.S. amount including locality. After-FERS values treat each year as a newly covered regular employee.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</x:row>
    <x:row r="5" ht="32" customHeight="1">
      <x:c r="A5" s="13" t="str">
        <x:v>Year</x:v>
      </x:c>
      <x:c r="B5" s="13" t="str">
        <x:v>Status</x:v>
      </x:c>
      <x:c r="C5" s="13" t="str">
        <x:v>New-Hire FERS Rate</x:v>
      </x:c>
      <x:c r="D5" s="13" t="str">
        <x:v>GS-7 step 1 Gross</x:v>
      </x:c>
      <x:c r="E5" s="13" t="str">
        <x:v>GS-7 step 1 After FERS</x:v>
      </x:c>
      <x:c r="F5" s="13" t="str">
        <x:v>GS-9 step 1 Gross</x:v>
      </x:c>
      <x:c r="G5" s="13" t="str">
        <x:v>GS-9 step 1 After FERS</x:v>
      </x:c>
      <x:c r="H5" s="13" t="str">
        <x:v>GS-11 step 1 Gross</x:v>
      </x:c>
      <x:c r="I5" s="13" t="str">
        <x:v>GS-11 step 1 After FERS</x:v>
      </x:c>
      <x:c r="J5" s="13" t="str">
        <x:v>GS-12 step 1 Gross</x:v>
      </x:c>
      <x:c r="K5" s="13" t="str">
        <x:v>GS-12 step 1 After FERS</x:v>
      </x:c>
      <x:c r="L5" s="13" t="str">
        <x:v>GS-13 step 1 Gross</x:v>
      </x:c>
      <x:c r="M5" s="13" t="str">
        <x:v>GS-13 step 1 After FERS</x:v>
      </x:c>
      <x:c r="N5" s="13" t="str">
        <x:v>GS-13 step 10 Gross</x:v>
      </x:c>
      <x:c r="O5" s="13" t="str">
        <x:v>GS-13 step 10 After FERS</x:v>
      </x:c>
      <x:c r="P5" s="13" t="str">
        <x:v>GS-14 step 1 Gross</x:v>
      </x:c>
      <x:c r="Q5" s="13" t="str">
        <x:v>GS-14 step 1 After FERS</x:v>
      </x:c>
      <x:c r="R5" s="13" t="str">
        <x:v>GS-15 step 1 Gross</x:v>
      </x:c>
      <x:c r="S5" s="13" t="str">
        <x:v>GS-15 step 1 After FERS</x:v>
      </x:c>
      <x:c r="T5" s="13" t="str">
        <x:v>GS-15 step 10 Gross</x:v>
      </x:c>
      <x:c r="U5" s="13" t="str">
        <x:v>GS-15 step 10 After FERS</x:v>
      </x:c>
      <x:c r="V5" s="13" t="str">
        <x:v>OPM Source URL</x:v>
      </x:c>
    </x:row>
    <x:row r="6">
      <x:c r="A6" s="18" t="n">
        <x:v>2001</x:v>
      </x:c>
      <x:c r="B6" s="18" t="str">
        <x:v>Actual</x:v>
      </x:c>
      <x:c r="C6" s="68" t="n">
        <x:f>'Assumptions &amp; Sources'!$B$8</x:f>
        <x:v>0.008</x:v>
      </x:c>
      <x:c r="D6" s="64" t="n">
        <x:v>29273</x:v>
      </x:c>
      <x:c r="E6" s="66" t="n">
        <x:f>D6*(1-$C6)</x:f>
        <x:v>29038.816</x:v>
      </x:c>
      <x:c r="F6" s="64" t="n">
        <x:v>35808</x:v>
      </x:c>
      <x:c r="G6" s="66" t="n">
        <x:f>F6*(1-$C6)</x:f>
        <x:v>35521.536</x:v>
      </x:c>
      <x:c r="H6" s="64" t="n">
        <x:v>43326</x:v>
      </x:c>
      <x:c r="I6" s="66" t="n">
        <x:f>H6*(1-$C6)</x:f>
        <x:v>42979.392</x:v>
      </x:c>
      <x:c r="J6" s="64" t="n">
        <x:v>51927</x:v>
      </x:c>
      <x:c r="K6" s="66" t="n">
        <x:f>J6*(1-$C6)</x:f>
        <x:v>51511.584</x:v>
      </x:c>
      <x:c r="L6" s="64" t="n">
        <x:v>61749</x:v>
      </x:c>
      <x:c r="M6" s="66" t="n">
        <x:f>L6*(1-$C6)</x:f>
        <x:v>61255.008</x:v>
      </x:c>
      <x:c r="N6" s="64" t="n">
        <x:v>80279</x:v>
      </x:c>
      <x:c r="O6" s="66" t="n">
        <x:f>N6*(1-$C6)</x:f>
        <x:v>79636.768</x:v>
      </x:c>
      <x:c r="P6" s="64" t="n">
        <x:v>72969</x:v>
      </x:c>
      <x:c r="Q6" s="66" t="n">
        <x:f>P6*(1-$C6)</x:f>
        <x:v>72385.24799999999</x:v>
      </x:c>
      <x:c r="R6" s="64" t="n">
        <x:v>85832</x:v>
      </x:c>
      <x:c r="S6" s="66" t="n">
        <x:f>R6*(1-$C6)</x:f>
        <x:v>85145.344</x:v>
      </x:c>
      <x:c r="T6" s="64" t="n">
        <x:v>111581</x:v>
      </x:c>
      <x:c r="U6" s="66" t="n">
        <x:f>T6*(1-$C6)</x:f>
        <x:v>110688.352</x:v>
      </x:c>
      <x:c r="V6" s="75" t="str">
        <x:v>https://web.archive.org/web/20010124075600id_/http://www3.opm.gov/oca/01tables/GSannual/html/RUS.htm</x:v>
      </x:c>
    </x:row>
    <x:row r="7">
      <x:c r="A7" s="19" t="n">
        <x:v>2002</x:v>
      </x:c>
      <x:c r="B7" s="19" t="str">
        <x:v>Actual</x:v>
      </x:c>
      <x:c r="C7" s="69" t="n">
        <x:f>'Assumptions &amp; Sources'!$B$8</x:f>
        <x:v>0.008</x:v>
      </x:c>
      <x:c r="D7" s="65" t="n">
        <x:v>30597</x:v>
      </x:c>
      <x:c r="E7" s="67" t="n">
        <x:f>D7*(1-$C7)</x:f>
        <x:v>30352.224</x:v>
      </x:c>
      <x:c r="F7" s="65" t="n">
        <x:v>37428</x:v>
      </x:c>
      <x:c r="G7" s="67" t="n">
        <x:f>F7*(1-$C7)</x:f>
        <x:v>37128.576</x:v>
      </x:c>
      <x:c r="H7" s="65" t="n">
        <x:v>45285</x:v>
      </x:c>
      <x:c r="I7" s="67" t="n">
        <x:f>H7*(1-$C7)</x:f>
        <x:v>44922.72</x:v>
      </x:c>
      <x:c r="J7" s="65" t="n">
        <x:v>54275</x:v>
      </x:c>
      <x:c r="K7" s="67" t="n">
        <x:f>J7*(1-$C7)</x:f>
        <x:v>53840.8</x:v>
      </x:c>
      <x:c r="L7" s="65" t="n">
        <x:v>64542</x:v>
      </x:c>
      <x:c r="M7" s="67" t="n">
        <x:f>L7*(1-$C7)</x:f>
        <x:v>64025.664</x:v>
      </x:c>
      <x:c r="N7" s="65" t="n">
        <x:v>83902</x:v>
      </x:c>
      <x:c r="O7" s="67" t="n">
        <x:f>N7*(1-$C7)</x:f>
        <x:v>83230.784</x:v>
      </x:c>
      <x:c r="P7" s="65" t="n">
        <x:v>76271</x:v>
      </x:c>
      <x:c r="Q7" s="67" t="n">
        <x:f>P7*(1-$C7)</x:f>
        <x:v>75660.832</x:v>
      </x:c>
      <x:c r="R7" s="65" t="n">
        <x:v>89715</x:v>
      </x:c>
      <x:c r="S7" s="67" t="n">
        <x:f>R7*(1-$C7)</x:f>
        <x:v>88997.28</x:v>
      </x:c>
      <x:c r="T7" s="65" t="n">
        <x:v>116633</x:v>
      </x:c>
      <x:c r="U7" s="67" t="n">
        <x:f>T7*(1-$C7)</x:f>
        <x:v>115699.936</x:v>
      </x:c>
      <x:c r="V7" s="76" t="str">
        <x:v>https://web.archive.org/web/20030212164956id_/http://www.opm.gov/oca/02tables/GSannual/html/RUS.htm</x:v>
      </x:c>
    </x:row>
    <x:row r="8">
      <x:c r="A8" s="19" t="n">
        <x:v>2003</x:v>
      </x:c>
      <x:c r="B8" s="19" t="str">
        <x:v>Actual</x:v>
      </x:c>
      <x:c r="C8" s="69" t="n">
        <x:f>'Assumptions &amp; Sources'!$B$8</x:f>
        <x:v>0.008</x:v>
      </x:c>
      <x:c r="D8" s="65" t="n">
        <x:v>31830</x:v>
      </x:c>
      <x:c r="E8" s="67" t="n">
        <x:f>D8*(1-$C8)</x:f>
        <x:v>31575.36</x:v>
      </x:c>
      <x:c r="F8" s="65" t="n">
        <x:v>38936</x:v>
      </x:c>
      <x:c r="G8" s="67" t="n">
        <x:f>F8*(1-$C8)</x:f>
        <x:v>38624.512</x:v>
      </x:c>
      <x:c r="H8" s="65" t="n">
        <x:v>47110</x:v>
      </x:c>
      <x:c r="I8" s="67" t="n">
        <x:f>H8*(1-$C8)</x:f>
        <x:v>46733.12</x:v>
      </x:c>
      <x:c r="J8" s="65" t="n">
        <x:v>56463</x:v>
      </x:c>
      <x:c r="K8" s="67" t="n">
        <x:f>J8*(1-$C8)</x:f>
        <x:v>56011.296</x:v>
      </x:c>
      <x:c r="L8" s="65" t="n">
        <x:v>67143</x:v>
      </x:c>
      <x:c r="M8" s="67" t="n">
        <x:f>L8*(1-$C8)</x:f>
        <x:v>66605.856</x:v>
      </x:c>
      <x:c r="N8" s="65" t="n">
        <x:v>87289</x:v>
      </x:c>
      <x:c r="O8" s="67" t="n">
        <x:f>N8*(1-$C8)</x:f>
        <x:v>86590.688</x:v>
      </x:c>
      <x:c r="P8" s="65" t="n">
        <x:v>79344</x:v>
      </x:c>
      <x:c r="Q8" s="67" t="n">
        <x:f>P8*(1-$C8)</x:f>
        <x:v>78709.24799999999</x:v>
      </x:c>
      <x:c r="R8" s="65" t="n">
        <x:v>93330</x:v>
      </x:c>
      <x:c r="S8" s="67" t="n">
        <x:f>R8*(1-$C8)</x:f>
        <x:v>92583.36</x:v>
      </x:c>
      <x:c r="T8" s="65" t="n">
        <x:v>121330</x:v>
      </x:c>
      <x:c r="U8" s="67" t="n">
        <x:f>T8*(1-$C8)</x:f>
        <x:v>120359.36</x:v>
      </x:c>
      <x:c r="V8" s="76" t="str">
        <x:v>https://web.archive.org/web/20040203122452id_/http://www.opm.gov/OCA/03TABLES/html/RUS.asp</x:v>
      </x:c>
    </x:row>
    <x:row r="9">
      <x:c r="A9" s="19" t="n">
        <x:v>2004</x:v>
      </x:c>
      <x:c r="B9" s="19" t="str">
        <x:v>Actual</x:v>
      </x:c>
      <x:c r="C9" s="69" t="n">
        <x:f>'Assumptions &amp; Sources'!$B$8</x:f>
        <x:v>0.008</x:v>
      </x:c>
      <x:c r="D9" s="65" t="n">
        <x:v>33071</x:v>
      </x:c>
      <x:c r="E9" s="67" t="n">
        <x:f>D9*(1-$C9)</x:f>
        <x:v>32806.432</x:v>
      </x:c>
      <x:c r="F9" s="65" t="n">
        <x:v>40454</x:v>
      </x:c>
      <x:c r="G9" s="67" t="n">
        <x:f>F9*(1-$C9)</x:f>
        <x:v>40130.368</x:v>
      </x:c>
      <x:c r="H9" s="65" t="n">
        <x:v>48947</x:v>
      </x:c>
      <x:c r="I9" s="67" t="n">
        <x:f>H9*(1-$C9)</x:f>
        <x:v>48555.424</x:v>
      </x:c>
      <x:c r="J9" s="65" t="n">
        <x:v>58665</x:v>
      </x:c>
      <x:c r="K9" s="67" t="n">
        <x:f>J9*(1-$C9)</x:f>
        <x:v>58195.68</x:v>
      </x:c>
      <x:c r="L9" s="65" t="n">
        <x:v>69762</x:v>
      </x:c>
      <x:c r="M9" s="67" t="n">
        <x:f>L9*(1-$C9)</x:f>
        <x:v>69203.904</x:v>
      </x:c>
      <x:c r="N9" s="65" t="n">
        <x:v>90692</x:v>
      </x:c>
      <x:c r="O9" s="67" t="n">
        <x:f>N9*(1-$C9)</x:f>
        <x:v>89966.46399999999</x:v>
      </x:c>
      <x:c r="P9" s="65" t="n">
        <x:v>82438</x:v>
      </x:c>
      <x:c r="Q9" s="67" t="n">
        <x:f>P9*(1-$C9)</x:f>
        <x:v>81778.496</x:v>
      </x:c>
      <x:c r="R9" s="65" t="n">
        <x:v>96970</x:v>
      </x:c>
      <x:c r="S9" s="67" t="n">
        <x:f>R9*(1-$C9)</x:f>
        <x:v>96194.24</x:v>
      </x:c>
      <x:c r="T9" s="65" t="n">
        <x:v>126064</x:v>
      </x:c>
      <x:c r="U9" s="67" t="n">
        <x:f>T9*(1-$C9)</x:f>
        <x:v>125055.488</x:v>
      </x:c>
      <x:c r="V9" s="76" t="str">
        <x:v>https://web.archive.org/web/20050205024336id_/http://www.opm.gov/oca/04tables/html/RUS.asp</x:v>
      </x:c>
    </x:row>
    <x:row r="10">
      <x:c r="A10" s="19" t="n">
        <x:v>2005</x:v>
      </x:c>
      <x:c r="B10" s="19" t="str">
        <x:v>Actual</x:v>
      </x:c>
      <x:c r="C10" s="69" t="n">
        <x:f>'Assumptions &amp; Sources'!$B$8</x:f>
        <x:v>0.008</x:v>
      </x:c>
      <x:c r="D10" s="65" t="n">
        <x:v>34149</x:v>
      </x:c>
      <x:c r="E10" s="67" t="n">
        <x:f>D10*(1-$C10)</x:f>
        <x:v>33875.808</x:v>
      </x:c>
      <x:c r="F10" s="65" t="n">
        <x:v>41772</x:v>
      </x:c>
      <x:c r="G10" s="67" t="n">
        <x:f>F10*(1-$C10)</x:f>
        <x:v>41437.824</x:v>
      </x:c>
      <x:c r="H10" s="65" t="n">
        <x:v>50541</x:v>
      </x:c>
      <x:c r="I10" s="67" t="n">
        <x:f>H10*(1-$C10)</x:f>
        <x:v>50136.672</x:v>
      </x:c>
      <x:c r="J10" s="65" t="n">
        <x:v>60576</x:v>
      </x:c>
      <x:c r="K10" s="67" t="n">
        <x:f>J10*(1-$C10)</x:f>
        <x:v>60091.392</x:v>
      </x:c>
      <x:c r="L10" s="65" t="n">
        <x:v>72035</x:v>
      </x:c>
      <x:c r="M10" s="67" t="n">
        <x:f>L10*(1-$C10)</x:f>
        <x:v>71458.72</x:v>
      </x:c>
      <x:c r="N10" s="65" t="n">
        <x:v>93643</x:v>
      </x:c>
      <x:c r="O10" s="67" t="n">
        <x:f>N10*(1-$C10)</x:f>
        <x:v>92893.856</x:v>
      </x:c>
      <x:c r="P10" s="65" t="n">
        <x:v>85123</x:v>
      </x:c>
      <x:c r="Q10" s="67" t="n">
        <x:f>P10*(1-$C10)</x:f>
        <x:v>84442.016</x:v>
      </x:c>
      <x:c r="R10" s="65" t="n">
        <x:v>100129</x:v>
      </x:c>
      <x:c r="S10" s="67" t="n">
        <x:f>R10*(1-$C10)</x:f>
        <x:v>99327.968</x:v>
      </x:c>
      <x:c r="T10" s="65" t="n">
        <x:v>130173</x:v>
      </x:c>
      <x:c r="U10" s="67" t="n">
        <x:f>T10*(1-$C10)</x:f>
        <x:v>129131.616</x:v>
      </x:c>
      <x:c r="V10" s="76" t="str">
        <x:v>https://web.archive.org/web/20060112064705id_/http://www.opm.gov/oca/05tables/html/RUS.asp</x:v>
      </x:c>
    </x:row>
    <x:row r="11">
      <x:c r="A11" s="19" t="n">
        <x:v>2006</x:v>
      </x:c>
      <x:c r="B11" s="19" t="str">
        <x:v>Actual</x:v>
      </x:c>
      <x:c r="C11" s="69" t="n">
        <x:f>'Assumptions &amp; Sources'!$B$8</x:f>
        <x:v>0.008</x:v>
      </x:c>
      <x:c r="D11" s="65" t="n">
        <x:v>35116</x:v>
      </x:c>
      <x:c r="E11" s="67" t="n">
        <x:f>D11*(1-$C11)</x:f>
        <x:v>34835.072</x:v>
      </x:c>
      <x:c r="F11" s="65" t="n">
        <x:v>42955</x:v>
      </x:c>
      <x:c r="G11" s="67" t="n">
        <x:f>F11*(1-$C11)</x:f>
        <x:v>42611.36</x:v>
      </x:c>
      <x:c r="H11" s="65" t="n">
        <x:v>51972</x:v>
      </x:c>
      <x:c r="I11" s="67" t="n">
        <x:f>H11*(1-$C11)</x:f>
        <x:v>51556.224</x:v>
      </x:c>
      <x:c r="J11" s="65" t="n">
        <x:v>62291</x:v>
      </x:c>
      <x:c r="K11" s="67" t="n">
        <x:f>J11*(1-$C11)</x:f>
        <x:v>61792.672</x:v>
      </x:c>
      <x:c r="L11" s="65" t="n">
        <x:v>74074</x:v>
      </x:c>
      <x:c r="M11" s="67" t="n">
        <x:f>L11*(1-$C11)</x:f>
        <x:v>73481.408</x:v>
      </x:c>
      <x:c r="N11" s="65" t="n">
        <x:v>96292</x:v>
      </x:c>
      <x:c r="O11" s="67" t="n">
        <x:f>N11*(1-$C11)</x:f>
        <x:v>95521.664</x:v>
      </x:c>
      <x:c r="P11" s="65" t="n">
        <x:v>87533</x:v>
      </x:c>
      <x:c r="Q11" s="67" t="n">
        <x:f>P11*(1-$C11)</x:f>
        <x:v>86832.736</x:v>
      </x:c>
      <x:c r="R11" s="65" t="n">
        <x:v>102964</x:v>
      </x:c>
      <x:c r="S11" s="67" t="n">
        <x:f>R11*(1-$C11)</x:f>
        <x:v>102140.288</x:v>
      </x:c>
      <x:c r="T11" s="65" t="n">
        <x:v>133850</x:v>
      </x:c>
      <x:c r="U11" s="67" t="n">
        <x:f>T11*(1-$C11)</x:f>
        <x:v>132779.2</x:v>
      </x:c>
      <x:c r="V11" s="76" t="str">
        <x:v>https://web.archive.org/web/20070203001743id_/http://www.opm.gov/oca/06tables/html/RUS.asp</x:v>
      </x:c>
    </x:row>
    <x:row r="12">
      <x:c r="A12" s="19" t="n">
        <x:v>2007</x:v>
      </x:c>
      <x:c r="B12" s="19" t="str">
        <x:v>Actual</x:v>
      </x:c>
      <x:c r="C12" s="69" t="n">
        <x:f>'Assumptions &amp; Sources'!$B$8</x:f>
        <x:v>0.008</x:v>
      </x:c>
      <x:c r="D12" s="65" t="n">
        <x:v>35752</x:v>
      </x:c>
      <x:c r="E12" s="67" t="n">
        <x:f>D12*(1-$C12)</x:f>
        <x:v>35465.984</x:v>
      </x:c>
      <x:c r="F12" s="65" t="n">
        <x:v>43731</x:v>
      </x:c>
      <x:c r="G12" s="67" t="n">
        <x:f>F12*(1-$C12)</x:f>
        <x:v>43381.152</x:v>
      </x:c>
      <x:c r="H12" s="65" t="n">
        <x:v>52912</x:v>
      </x:c>
      <x:c r="I12" s="67" t="n">
        <x:f>H12*(1-$C12)</x:f>
        <x:v>52488.704</x:v>
      </x:c>
      <x:c r="J12" s="65" t="n">
        <x:v>63417</x:v>
      </x:c>
      <x:c r="K12" s="67" t="n">
        <x:f>J12*(1-$C12)</x:f>
        <x:v>62909.664</x:v>
      </x:c>
      <x:c r="L12" s="65" t="n">
        <x:v>75414</x:v>
      </x:c>
      <x:c r="M12" s="67" t="n">
        <x:f>L12*(1-$C12)</x:f>
        <x:v>74810.688</x:v>
      </x:c>
      <x:c r="N12" s="65" t="n">
        <x:v>98041</x:v>
      </x:c>
      <x:c r="O12" s="67" t="n">
        <x:f>N12*(1-$C12)</x:f>
        <x:v>97256.672</x:v>
      </x:c>
      <x:c r="P12" s="65" t="n">
        <x:v>89115</x:v>
      </x:c>
      <x:c r="Q12" s="67" t="n">
        <x:f>P12*(1-$C12)</x:f>
        <x:v>88402.08</x:v>
      </x:c>
      <x:c r="R12" s="65" t="n">
        <x:v>104826</x:v>
      </x:c>
      <x:c r="S12" s="67" t="n">
        <x:f>R12*(1-$C12)</x:f>
        <x:v>103987.39199999999</x:v>
      </x:c>
      <x:c r="T12" s="65" t="n">
        <x:v>136273</x:v>
      </x:c>
      <x:c r="U12" s="67" t="n">
        <x:f>T12*(1-$C12)</x:f>
        <x:v>135182.816</x:v>
      </x:c>
      <x:c r="V12" s="76" t="str">
        <x:v>https://web.archive.org/web/20080214101547id_/http://www.opm.gov/oca/07tables/html/rus.asp</x:v>
      </x:c>
    </x:row>
    <x:row r="13">
      <x:c r="A13" s="19" t="n">
        <x:v>2008</x:v>
      </x:c>
      <x:c r="B13" s="19" t="str">
        <x:v>Actual</x:v>
      </x:c>
      <x:c r="C13" s="69" t="n">
        <x:f>'Assumptions &amp; Sources'!$B$8</x:f>
        <x:v>0.008</x:v>
      </x:c>
      <x:c r="D13" s="65" t="n">
        <x:v>36822</x:v>
      </x:c>
      <x:c r="E13" s="67" t="n">
        <x:f>D13*(1-$C13)</x:f>
        <x:v>36527.424</x:v>
      </x:c>
      <x:c r="F13" s="65" t="n">
        <x:v>45040</x:v>
      </x:c>
      <x:c r="G13" s="67" t="n">
        <x:f>F13*(1-$C13)</x:f>
        <x:v>44679.68</x:v>
      </x:c>
      <x:c r="H13" s="65" t="n">
        <x:v>54494</x:v>
      </x:c>
      <x:c r="I13" s="67" t="n">
        <x:f>H13*(1-$C13)</x:f>
        <x:v>54058.048</x:v>
      </x:c>
      <x:c r="J13" s="65" t="n">
        <x:v>65315</x:v>
      </x:c>
      <x:c r="K13" s="67" t="n">
        <x:f>J13*(1-$C13)</x:f>
        <x:v>64792.479999999996</x:v>
      </x:c>
      <x:c r="L13" s="65" t="n">
        <x:v>77670</x:v>
      </x:c>
      <x:c r="M13" s="67" t="n">
        <x:f>L13*(1-$C13)</x:f>
        <x:v>77048.64</x:v>
      </x:c>
      <x:c r="N13" s="65" t="n">
        <x:v>100976</x:v>
      </x:c>
      <x:c r="O13" s="67" t="n">
        <x:f>N13*(1-$C13)</x:f>
        <x:v>100168.192</x:v>
      </x:c>
      <x:c r="P13" s="65" t="n">
        <x:v>91781</x:v>
      </x:c>
      <x:c r="Q13" s="67" t="n">
        <x:f>P13*(1-$C13)</x:f>
        <x:v>91046.752</x:v>
      </x:c>
      <x:c r="R13" s="65" t="n">
        <x:v>107962</x:v>
      </x:c>
      <x:c r="S13" s="67" t="n">
        <x:f>R13*(1-$C13)</x:f>
        <x:v>107098.304</x:v>
      </x:c>
      <x:c r="T13" s="65" t="n">
        <x:v>140355</x:v>
      </x:c>
      <x:c r="U13" s="67" t="n">
        <x:f>T13*(1-$C13)</x:f>
        <x:v>139232.16</x:v>
      </x:c>
      <x:c r="V13" s="76" t="str">
        <x:v>https://web.archive.org/web/20090126133023id_/http://opm.gov/oca/08tables/html/RUS.asp</x:v>
      </x:c>
    </x:row>
    <x:row r="14">
      <x:c r="A14" s="19" t="n">
        <x:v>2009</x:v>
      </x:c>
      <x:c r="B14" s="19" t="str">
        <x:v>Actual</x:v>
      </x:c>
      <x:c r="C14" s="69" t="n">
        <x:f>'Assumptions &amp; Sources'!$B$8</x:f>
        <x:v>0.008</x:v>
      </x:c>
      <x:c r="D14" s="65" t="n">
        <x:v>38117</x:v>
      </x:c>
      <x:c r="E14" s="67" t="n">
        <x:f>D14*(1-$C14)</x:f>
        <x:v>37812.064</x:v>
      </x:c>
      <x:c r="F14" s="65" t="n">
        <x:v>46625</x:v>
      </x:c>
      <x:c r="G14" s="67" t="n">
        <x:f>F14*(1-$C14)</x:f>
        <x:v>46252</x:v>
      </x:c>
      <x:c r="H14" s="65" t="n">
        <x:v>56411</x:v>
      </x:c>
      <x:c r="I14" s="67" t="n">
        <x:f>H14*(1-$C14)</x:f>
        <x:v>55959.712</x:v>
      </x:c>
      <x:c r="J14" s="65" t="n">
        <x:v>67613</x:v>
      </x:c>
      <x:c r="K14" s="67" t="n">
        <x:f>J14*(1-$C14)</x:f>
        <x:v>67072.096</x:v>
      </x:c>
      <x:c r="L14" s="65" t="n">
        <x:v>80402</x:v>
      </x:c>
      <x:c r="M14" s="67" t="n">
        <x:f>L14*(1-$C14)</x:f>
        <x:v>79758.784</x:v>
      </x:c>
      <x:c r="N14" s="65" t="n">
        <x:v>104525</x:v>
      </x:c>
      <x:c r="O14" s="67" t="n">
        <x:f>N14*(1-$C14)</x:f>
        <x:v>103688.8</x:v>
      </x:c>
      <x:c r="P14" s="65" t="n">
        <x:v>95010</x:v>
      </x:c>
      <x:c r="Q14" s="67" t="n">
        <x:f>P14*(1-$C14)</x:f>
        <x:v>94249.92</x:v>
      </x:c>
      <x:c r="R14" s="65" t="n">
        <x:v>111760</x:v>
      </x:c>
      <x:c r="S14" s="67" t="n">
        <x:f>R14*(1-$C14)</x:f>
        <x:v>110865.92</x:v>
      </x:c>
      <x:c r="T14" s="65" t="n">
        <x:v>145290</x:v>
      </x:c>
      <x:c r="U14" s="67" t="n">
        <x:f>T14*(1-$C14)</x:f>
        <x:v>144127.68</x:v>
      </x:c>
      <x:c r="V14" s="76" t="str">
        <x:v>https://web.archive.org/web/20100507070556id_/http://www.opm.gov/oca/09tables/html/RUS.asp</x:v>
      </x:c>
    </x:row>
    <x:row r="15">
      <x:c r="A15" s="19" t="n">
        <x:v>2010</x:v>
      </x:c>
      <x:c r="B15" s="19" t="str">
        <x:v>Actual</x:v>
      </x:c>
      <x:c r="C15" s="69" t="n">
        <x:f>'Assumptions &amp; Sources'!$B$8</x:f>
        <x:v>0.008</x:v>
      </x:c>
      <x:c r="D15" s="65" t="n">
        <x:v>38790</x:v>
      </x:c>
      <x:c r="E15" s="67" t="n">
        <x:f>D15*(1-$C15)</x:f>
        <x:v>38479.68</x:v>
      </x:c>
      <x:c r="F15" s="65" t="n">
        <x:v>47448</x:v>
      </x:c>
      <x:c r="G15" s="67" t="n">
        <x:f>F15*(1-$C15)</x:f>
        <x:v>47068.416</x:v>
      </x:c>
      <x:c r="H15" s="65" t="n">
        <x:v>57408</x:v>
      </x:c>
      <x:c r="I15" s="67" t="n">
        <x:f>H15*(1-$C15)</x:f>
        <x:v>56948.736</x:v>
      </x:c>
      <x:c r="J15" s="65" t="n">
        <x:v>68809</x:v>
      </x:c>
      <x:c r="K15" s="67" t="n">
        <x:f>J15*(1-$C15)</x:f>
        <x:v>68258.528</x:v>
      </x:c>
      <x:c r="L15" s="65" t="n">
        <x:v>81823</x:v>
      </x:c>
      <x:c r="M15" s="67" t="n">
        <x:f>L15*(1-$C15)</x:f>
        <x:v>81168.416</x:v>
      </x:c>
      <x:c r="N15" s="65" t="n">
        <x:v>106369</x:v>
      </x:c>
      <x:c r="O15" s="67" t="n">
        <x:f>N15*(1-$C15)</x:f>
        <x:v>105518.048</x:v>
      </x:c>
      <x:c r="P15" s="65" t="n">
        <x:v>96690</x:v>
      </x:c>
      <x:c r="Q15" s="67" t="n">
        <x:f>P15*(1-$C15)</x:f>
        <x:v>95916.48</x:v>
      </x:c>
      <x:c r="R15" s="65" t="n">
        <x:v>113735</x:v>
      </x:c>
      <x:c r="S15" s="67" t="n">
        <x:f>R15*(1-$C15)</x:f>
        <x:v>112825.12</x:v>
      </x:c>
      <x:c r="T15" s="65" t="n">
        <x:v>147857</x:v>
      </x:c>
      <x:c r="U15" s="67" t="n">
        <x:f>T15*(1-$C15)</x:f>
        <x:v>146674.144</x:v>
      </x:c>
      <x:c r="V15" s="76" t="str">
        <x:v>https://web.archive.org/web/20110126163912id_/http://www.opm.gov/oca/10tables/html/RUS.asp</x:v>
      </x:c>
    </x:row>
    <x:row r="16">
      <x:c r="A16" s="19" t="n">
        <x:v>2011</x:v>
      </x:c>
      <x:c r="B16" s="19" t="str">
        <x:v>Actual</x:v>
      </x:c>
      <x:c r="C16" s="69" t="n">
        <x:f>'Assumptions &amp; Sources'!$B$8</x:f>
        <x:v>0.008</x:v>
      </x:c>
      <x:c r="D16" s="65" t="n">
        <x:v>38790</x:v>
      </x:c>
      <x:c r="E16" s="67" t="n">
        <x:f>D16*(1-$C16)</x:f>
        <x:v>38479.68</x:v>
      </x:c>
      <x:c r="F16" s="65" t="n">
        <x:v>47448</x:v>
      </x:c>
      <x:c r="G16" s="67" t="n">
        <x:f>F16*(1-$C16)</x:f>
        <x:v>47068.416</x:v>
      </x:c>
      <x:c r="H16" s="65" t="n">
        <x:v>57408</x:v>
      </x:c>
      <x:c r="I16" s="67" t="n">
        <x:f>H16*(1-$C16)</x:f>
        <x:v>56948.736</x:v>
      </x:c>
      <x:c r="J16" s="65" t="n">
        <x:v>68809</x:v>
      </x:c>
      <x:c r="K16" s="67" t="n">
        <x:f>J16*(1-$C16)</x:f>
        <x:v>68258.528</x:v>
      </x:c>
      <x:c r="L16" s="65" t="n">
        <x:v>81823</x:v>
      </x:c>
      <x:c r="M16" s="67" t="n">
        <x:f>L16*(1-$C16)</x:f>
        <x:v>81168.416</x:v>
      </x:c>
      <x:c r="N16" s="65" t="n">
        <x:v>106369</x:v>
      </x:c>
      <x:c r="O16" s="67" t="n">
        <x:f>N16*(1-$C16)</x:f>
        <x:v>105518.048</x:v>
      </x:c>
      <x:c r="P16" s="65" t="n">
        <x:v>96690</x:v>
      </x:c>
      <x:c r="Q16" s="67" t="n">
        <x:f>P16*(1-$C16)</x:f>
        <x:v>95916.48</x:v>
      </x:c>
      <x:c r="R16" s="65" t="n">
        <x:v>113735</x:v>
      </x:c>
      <x:c r="S16" s="67" t="n">
        <x:f>R16*(1-$C16)</x:f>
        <x:v>112825.12</x:v>
      </x:c>
      <x:c r="T16" s="65" t="n">
        <x:v>147857</x:v>
      </x:c>
      <x:c r="U16" s="67" t="n">
        <x:f>T16*(1-$C16)</x:f>
        <x:v>146674.144</x:v>
      </x:c>
      <x:c r="V16" s="76" t="str">
        <x:v>https://www.opm.gov/policy-data-oversight/pay-leave/salaries-wages/2011/general-schedule/</x:v>
      </x:c>
    </x:row>
    <x:row r="17">
      <x:c r="A17" s="19" t="n">
        <x:v>2012</x:v>
      </x:c>
      <x:c r="B17" s="19" t="str">
        <x:v>Actual</x:v>
      </x:c>
      <x:c r="C17" s="69" t="n">
        <x:f>'Assumptions &amp; Sources'!$B$8</x:f>
        <x:v>0.008</x:v>
      </x:c>
      <x:c r="D17" s="65" t="n">
        <x:v>38790</x:v>
      </x:c>
      <x:c r="E17" s="67" t="n">
        <x:f>D17*(1-$C17)</x:f>
        <x:v>38479.68</x:v>
      </x:c>
      <x:c r="F17" s="65" t="n">
        <x:v>47448</x:v>
      </x:c>
      <x:c r="G17" s="67" t="n">
        <x:f>F17*(1-$C17)</x:f>
        <x:v>47068.416</x:v>
      </x:c>
      <x:c r="H17" s="65" t="n">
        <x:v>57408</x:v>
      </x:c>
      <x:c r="I17" s="67" t="n">
        <x:f>H17*(1-$C17)</x:f>
        <x:v>56948.736</x:v>
      </x:c>
      <x:c r="J17" s="65" t="n">
        <x:v>68809</x:v>
      </x:c>
      <x:c r="K17" s="67" t="n">
        <x:f>J17*(1-$C17)</x:f>
        <x:v>68258.528</x:v>
      </x:c>
      <x:c r="L17" s="65" t="n">
        <x:v>81823</x:v>
      </x:c>
      <x:c r="M17" s="67" t="n">
        <x:f>L17*(1-$C17)</x:f>
        <x:v>81168.416</x:v>
      </x:c>
      <x:c r="N17" s="65" t="n">
        <x:v>106369</x:v>
      </x:c>
      <x:c r="O17" s="67" t="n">
        <x:f>N17*(1-$C17)</x:f>
        <x:v>105518.048</x:v>
      </x:c>
      <x:c r="P17" s="65" t="n">
        <x:v>96690</x:v>
      </x:c>
      <x:c r="Q17" s="67" t="n">
        <x:f>P17*(1-$C17)</x:f>
        <x:v>95916.48</x:v>
      </x:c>
      <x:c r="R17" s="65" t="n">
        <x:v>113735</x:v>
      </x:c>
      <x:c r="S17" s="67" t="n">
        <x:f>R17*(1-$C17)</x:f>
        <x:v>112825.12</x:v>
      </x:c>
      <x:c r="T17" s="65" t="n">
        <x:v>147857</x:v>
      </x:c>
      <x:c r="U17" s="67" t="n">
        <x:f>T17*(1-$C17)</x:f>
        <x:v>146674.144</x:v>
      </x:c>
      <x:c r="V17" s="76" t="str">
        <x:v>https://www.opm.gov/policy-data-oversight/pay-leave/salaries-wages/2012/general-schedule/</x:v>
      </x:c>
    </x:row>
    <x:row r="18">
      <x:c r="A18" s="19" t="n">
        <x:v>2013</x:v>
      </x:c>
      <x:c r="B18" s="19" t="str">
        <x:v>Actual</x:v>
      </x:c>
      <x:c r="C18" s="69" t="n">
        <x:f>'Assumptions &amp; Sources'!$B$9</x:f>
        <x:v>0.031</x:v>
      </x:c>
      <x:c r="D18" s="65" t="n">
        <x:v>38790</x:v>
      </x:c>
      <x:c r="E18" s="67" t="n">
        <x:f>D18*(1-$C18)</x:f>
        <x:v>37587.51</x:v>
      </x:c>
      <x:c r="F18" s="65" t="n">
        <x:v>47448</x:v>
      </x:c>
      <x:c r="G18" s="67" t="n">
        <x:f>F18*(1-$C18)</x:f>
        <x:v>45977.112</x:v>
      </x:c>
      <x:c r="H18" s="65" t="n">
        <x:v>57408</x:v>
      </x:c>
      <x:c r="I18" s="67" t="n">
        <x:f>H18*(1-$C18)</x:f>
        <x:v>55628.352</x:v>
      </x:c>
      <x:c r="J18" s="65" t="n">
        <x:v>68809</x:v>
      </x:c>
      <x:c r="K18" s="67" t="n">
        <x:f>J18*(1-$C18)</x:f>
        <x:v>66675.921</x:v>
      </x:c>
      <x:c r="L18" s="65" t="n">
        <x:v>81823</x:v>
      </x:c>
      <x:c r="M18" s="67" t="n">
        <x:f>L18*(1-$C18)</x:f>
        <x:v>79286.487</x:v>
      </x:c>
      <x:c r="N18" s="65" t="n">
        <x:v>106369</x:v>
      </x:c>
      <x:c r="O18" s="67" t="n">
        <x:f>N18*(1-$C18)</x:f>
        <x:v>103071.561</x:v>
      </x:c>
      <x:c r="P18" s="65" t="n">
        <x:v>96690</x:v>
      </x:c>
      <x:c r="Q18" s="67" t="n">
        <x:f>P18*(1-$C18)</x:f>
        <x:v>93692.61</x:v>
      </x:c>
      <x:c r="R18" s="65" t="n">
        <x:v>113735</x:v>
      </x:c>
      <x:c r="S18" s="67" t="n">
        <x:f>R18*(1-$C18)</x:f>
        <x:v>110209.215</x:v>
      </x:c>
      <x:c r="T18" s="65" t="n">
        <x:v>147857</x:v>
      </x:c>
      <x:c r="U18" s="67" t="n">
        <x:f>T18*(1-$C18)</x:f>
        <x:v>143273.433</x:v>
      </x:c>
      <x:c r="V18" s="76" t="str">
        <x:v>https://www.opm.gov/policy-data-oversight/pay-leave/salaries-wages/2013/general-schedule/</x:v>
      </x:c>
    </x:row>
    <x:row r="19">
      <x:c r="A19" s="19" t="n">
        <x:v>2014</x:v>
      </x:c>
      <x:c r="B19" s="19" t="str">
        <x:v>Actual</x:v>
      </x:c>
      <x:c r="C19" s="69" t="n">
        <x:f>'Assumptions &amp; Sources'!$B$10</x:f>
        <x:v>0.044</x:v>
      </x:c>
      <x:c r="D19" s="65" t="n">
        <x:v>39179</x:v>
      </x:c>
      <x:c r="E19" s="67" t="n">
        <x:f>D19*(1-$C19)</x:f>
        <x:v>37455.123999999996</x:v>
      </x:c>
      <x:c r="F19" s="65" t="n">
        <x:v>47923</x:v>
      </x:c>
      <x:c r="G19" s="67" t="n">
        <x:f>F19*(1-$C19)</x:f>
        <x:v>45814.388</x:v>
      </x:c>
      <x:c r="H19" s="65" t="n">
        <x:v>57982</x:v>
      </x:c>
      <x:c r="I19" s="67" t="n">
        <x:f>H19*(1-$C19)</x:f>
        <x:v>55430.792</x:v>
      </x:c>
      <x:c r="J19" s="65" t="n">
        <x:v>69497</x:v>
      </x:c>
      <x:c r="K19" s="67" t="n">
        <x:f>J19*(1-$C19)</x:f>
        <x:v>66439.132</x:v>
      </x:c>
      <x:c r="L19" s="65" t="n">
        <x:v>82642</x:v>
      </x:c>
      <x:c r="M19" s="67" t="n">
        <x:f>L19*(1-$C19)</x:f>
        <x:v>79005.752</x:v>
      </x:c>
      <x:c r="N19" s="65" t="n">
        <x:v>107434</x:v>
      </x:c>
      <x:c r="O19" s="67" t="n">
        <x:f>N19*(1-$C19)</x:f>
        <x:v>102706.904</x:v>
      </x:c>
      <x:c r="P19" s="65" t="n">
        <x:v>97657</x:v>
      </x:c>
      <x:c r="Q19" s="67" t="n">
        <x:f>P19*(1-$C19)</x:f>
        <x:v>93360.09199999999</x:v>
      </x:c>
      <x:c r="R19" s="65" t="n">
        <x:v>114872</x:v>
      </x:c>
      <x:c r="S19" s="67" t="n">
        <x:f>R19*(1-$C19)</x:f>
        <x:v>109817.632</x:v>
      </x:c>
      <x:c r="T19" s="65" t="n">
        <x:v>149333</x:v>
      </x:c>
      <x:c r="U19" s="67" t="n">
        <x:f>T19*(1-$C19)</x:f>
        <x:v>142762.348</x:v>
      </x:c>
      <x:c r="V19" s="76" t="str">
        <x:v>https://www.opm.gov/policy-data-oversight/pay-leave/salaries-wages/salary-tables/14Tables/html/RUS.aspx</x:v>
      </x:c>
    </x:row>
    <x:row r="20">
      <x:c r="A20" s="19" t="n">
        <x:v>2015</x:v>
      </x:c>
      <x:c r="B20" s="19" t="str">
        <x:v>Actual</x:v>
      </x:c>
      <x:c r="C20" s="69" t="n">
        <x:f>'Assumptions &amp; Sources'!$B$10</x:f>
        <x:v>0.044</x:v>
      </x:c>
      <x:c r="D20" s="65" t="n">
        <x:v>39570</x:v>
      </x:c>
      <x:c r="E20" s="67" t="n">
        <x:f>D20*(1-$C20)</x:f>
        <x:v>37828.92</x:v>
      </x:c>
      <x:c r="F20" s="65" t="n">
        <x:v>48403</x:v>
      </x:c>
      <x:c r="G20" s="67" t="n">
        <x:f>F20*(1-$C20)</x:f>
        <x:v>46273.268</x:v>
      </x:c>
      <x:c r="H20" s="65" t="n">
        <x:v>58562</x:v>
      </x:c>
      <x:c r="I20" s="67" t="n">
        <x:f>H20*(1-$C20)</x:f>
        <x:v>55985.272</x:v>
      </x:c>
      <x:c r="J20" s="65" t="n">
        <x:v>70192</x:v>
      </x:c>
      <x:c r="K20" s="67" t="n">
        <x:f>J20*(1-$C20)</x:f>
        <x:v>67103.552</x:v>
      </x:c>
      <x:c r="L20" s="65" t="n">
        <x:v>83468</x:v>
      </x:c>
      <x:c r="M20" s="67" t="n">
        <x:f>L20*(1-$C20)</x:f>
        <x:v>79795.408</x:v>
      </x:c>
      <x:c r="N20" s="65" t="n">
        <x:v>108507</x:v>
      </x:c>
      <x:c r="O20" s="67" t="n">
        <x:f>N20*(1-$C20)</x:f>
        <x:v>103732.692</x:v>
      </x:c>
      <x:c r="P20" s="65" t="n">
        <x:v>98633</x:v>
      </x:c>
      <x:c r="Q20" s="67" t="n">
        <x:f>P20*(1-$C20)</x:f>
        <x:v>94293.148</x:v>
      </x:c>
      <x:c r="R20" s="65" t="n">
        <x:v>116021</x:v>
      </x:c>
      <x:c r="S20" s="67" t="n">
        <x:f>R20*(1-$C20)</x:f>
        <x:v>110916.076</x:v>
      </x:c>
      <x:c r="T20" s="65" t="n">
        <x:v>150830</x:v>
      </x:c>
      <x:c r="U20" s="67" t="n">
        <x:f>T20*(1-$C20)</x:f>
        <x:v>144193.47999999998</x:v>
      </x:c>
      <x:c r="V20" s="76" t="str">
        <x:v>https://www.opm.gov/policy-data-oversight/pay-leave/salaries-wages/salary-tables/15Tables/html/RUS.aspx</x:v>
      </x:c>
    </x:row>
    <x:row r="21">
      <x:c r="A21" s="19" t="n">
        <x:v>2016</x:v>
      </x:c>
      <x:c r="B21" s="19" t="str">
        <x:v>Actual</x:v>
      </x:c>
      <x:c r="C21" s="69" t="n">
        <x:f>'Assumptions &amp; Sources'!$B$10</x:f>
        <x:v>0.044</x:v>
      </x:c>
      <x:c r="D21" s="65" t="n">
        <x:v>40033</x:v>
      </x:c>
      <x:c r="E21" s="67" t="n">
        <x:f>D21*(1-$C21)</x:f>
        <x:v>38271.547999999995</x:v>
      </x:c>
      <x:c r="F21" s="65" t="n">
        <x:v>48968</x:v>
      </x:c>
      <x:c r="G21" s="67" t="n">
        <x:f>F21*(1-$C21)</x:f>
        <x:v>46813.407999999996</x:v>
      </x:c>
      <x:c r="H21" s="65" t="n">
        <x:v>59246</x:v>
      </x:c>
      <x:c r="I21" s="67" t="n">
        <x:f>H21*(1-$C21)</x:f>
        <x:v>56639.176</x:v>
      </x:c>
      <x:c r="J21" s="65" t="n">
        <x:v>71012</x:v>
      </x:c>
      <x:c r="K21" s="67" t="n">
        <x:f>J21*(1-$C21)</x:f>
        <x:v>67887.472</x:v>
      </x:c>
      <x:c r="L21" s="65" t="n">
        <x:v>84443</x:v>
      </x:c>
      <x:c r="M21" s="67" t="n">
        <x:f>L21*(1-$C21)</x:f>
        <x:v>80727.508</x:v>
      </x:c>
      <x:c r="N21" s="65" t="n">
        <x:v>109781</x:v>
      </x:c>
      <x:c r="O21" s="67" t="n">
        <x:f>N21*(1-$C21)</x:f>
        <x:v>104950.636</x:v>
      </x:c>
      <x:c r="P21" s="65" t="n">
        <x:v>99785</x:v>
      </x:c>
      <x:c r="Q21" s="67" t="n">
        <x:f>P21*(1-$C21)</x:f>
        <x:v>95394.45999999999</x:v>
      </x:c>
      <x:c r="R21" s="65" t="n">
        <x:v>117376</x:v>
      </x:c>
      <x:c r="S21" s="67" t="n">
        <x:f>R21*(1-$C21)</x:f>
        <x:v>112211.45599999999</x:v>
      </x:c>
      <x:c r="T21" s="65" t="n">
        <x:v>152593</x:v>
      </x:c>
      <x:c r="U21" s="67" t="n">
        <x:f>T21*(1-$C21)</x:f>
        <x:v>145878.908</x:v>
      </x:c>
      <x:c r="V21" s="76" t="str">
        <x:v>https://www.opm.gov/policy-data-oversight/pay-leave/salaries-wages/salary-tables/16Tables/html/RUS.aspx</x:v>
      </x:c>
    </x:row>
    <x:row r="22">
      <x:c r="A22" s="19" t="n">
        <x:v>2017</x:v>
      </x:c>
      <x:c r="B22" s="19" t="str">
        <x:v>Actual</x:v>
      </x:c>
      <x:c r="C22" s="69" t="n">
        <x:f>'Assumptions &amp; Sources'!$B$10</x:f>
        <x:v>0.044</x:v>
      </x:c>
      <x:c r="D22" s="65" t="n">
        <x:v>40684</x:v>
      </x:c>
      <x:c r="E22" s="67" t="n">
        <x:f>D22*(1-$C22)</x:f>
        <x:v>38893.903999999995</x:v>
      </x:c>
      <x:c r="F22" s="65" t="n">
        <x:v>49765</x:v>
      </x:c>
      <x:c r="G22" s="67" t="n">
        <x:f>F22*(1-$C22)</x:f>
        <x:v>47575.34</x:v>
      </x:c>
      <x:c r="H22" s="65" t="n">
        <x:v>60210</x:v>
      </x:c>
      <x:c r="I22" s="67" t="n">
        <x:f>H22*(1-$C22)</x:f>
        <x:v>57560.759999999995</x:v>
      </x:c>
      <x:c r="J22" s="65" t="n">
        <x:v>72168</x:v>
      </x:c>
      <x:c r="K22" s="67" t="n">
        <x:f>J22*(1-$C22)</x:f>
        <x:v>68992.608</x:v>
      </x:c>
      <x:c r="L22" s="65" t="n">
        <x:v>85816</x:v>
      </x:c>
      <x:c r="M22" s="67" t="n">
        <x:f>L22*(1-$C22)</x:f>
        <x:v>82040.09599999999</x:v>
      </x:c>
      <x:c r="N22" s="65" t="n">
        <x:v>111560</x:v>
      </x:c>
      <x:c r="O22" s="67" t="n">
        <x:f>N22*(1-$C22)</x:f>
        <x:v>106651.36</x:v>
      </x:c>
      <x:c r="P22" s="65" t="n">
        <x:v>101409</x:v>
      </x:c>
      <x:c r="Q22" s="67" t="n">
        <x:f>P22*(1-$C22)</x:f>
        <x:v>96947.004</x:v>
      </x:c>
      <x:c r="R22" s="65" t="n">
        <x:v>119285</x:v>
      </x:c>
      <x:c r="S22" s="67" t="n">
        <x:f>R22*(1-$C22)</x:f>
        <x:v>114036.45999999999</x:v>
      </x:c>
      <x:c r="T22" s="65" t="n">
        <x:v>155073</x:v>
      </x:c>
      <x:c r="U22" s="67" t="n">
        <x:f>T22*(1-$C22)</x:f>
        <x:v>148249.788</x:v>
      </x:c>
      <x:c r="V22" s="76" t="str">
        <x:v>https://www.opm.gov/policy-data-oversight/pay-leave/salaries-wages/salary-tables/17Tables/html/RUS.aspx</x:v>
      </x:c>
    </x:row>
    <x:row r="23">
      <x:c r="A23" s="19" t="n">
        <x:v>2018</x:v>
      </x:c>
      <x:c r="B23" s="19" t="str">
        <x:v>Actual</x:v>
      </x:c>
      <x:c r="C23" s="69" t="n">
        <x:f>'Assumptions &amp; Sources'!$B$10</x:f>
        <x:v>0.044</x:v>
      </x:c>
      <x:c r="D23" s="65" t="n">
        <x:v>41365</x:v>
      </x:c>
      <x:c r="E23" s="67" t="n">
        <x:f>D23*(1-$C23)</x:f>
        <x:v>39544.939999999995</x:v>
      </x:c>
      <x:c r="F23" s="65" t="n">
        <x:v>50598</x:v>
      </x:c>
      <x:c r="G23" s="67" t="n">
        <x:f>F23*(1-$C23)</x:f>
        <x:v>48371.687999999995</x:v>
      </x:c>
      <x:c r="H23" s="65" t="n">
        <x:v>61218</x:v>
      </x:c>
      <x:c r="I23" s="67" t="n">
        <x:f>H23*(1-$C23)</x:f>
        <x:v>58524.407999999996</x:v>
      </x:c>
      <x:c r="J23" s="65" t="n">
        <x:v>73375</x:v>
      </x:c>
      <x:c r="K23" s="67" t="n">
        <x:f>J23*(1-$C23)</x:f>
        <x:v>70146.5</x:v>
      </x:c>
      <x:c r="L23" s="65" t="n">
        <x:v>87252</x:v>
      </x:c>
      <x:c r="M23" s="67" t="n">
        <x:f>L23*(1-$C23)</x:f>
        <x:v>83412.912</x:v>
      </x:c>
      <x:c r="N23" s="65" t="n">
        <x:v>113428</x:v>
      </x:c>
      <x:c r="O23" s="67" t="n">
        <x:f>N23*(1-$C23)</x:f>
        <x:v>108437.16799999999</x:v>
      </x:c>
      <x:c r="P23" s="65" t="n">
        <x:v>103106</x:v>
      </x:c>
      <x:c r="Q23" s="67" t="n">
        <x:f>P23*(1-$C23)</x:f>
        <x:v>98569.336</x:v>
      </x:c>
      <x:c r="R23" s="65" t="n">
        <x:v>121280</x:v>
      </x:c>
      <x:c r="S23" s="67" t="n">
        <x:f>R23*(1-$C23)</x:f>
        <x:v>115943.68</x:v>
      </x:c>
      <x:c r="T23" s="65" t="n">
        <x:v>157663</x:v>
      </x:c>
      <x:c r="U23" s="67" t="n">
        <x:f>T23*(1-$C23)</x:f>
        <x:v>150725.82799999998</x:v>
      </x:c>
      <x:c r="V23" s="76" t="str">
        <x:v>https://www.opm.gov/policy-data-oversight/pay-leave/salaries-wages/salary-tables/18Tables/html/RUS.aspx</x:v>
      </x:c>
    </x:row>
    <x:row r="24">
      <x:c r="A24" s="19" t="n">
        <x:v>2019</x:v>
      </x:c>
      <x:c r="B24" s="19" t="str">
        <x:v>Actual</x:v>
      </x:c>
      <x:c r="C24" s="69" t="n">
        <x:f>'Assumptions &amp; Sources'!$B$10</x:f>
        <x:v>0.044</x:v>
      </x:c>
      <x:c r="D24" s="65" t="n">
        <x:v>42053</x:v>
      </x:c>
      <x:c r="E24" s="67" t="n">
        <x:f>D24*(1-$C24)</x:f>
        <x:v>40202.668</x:v>
      </x:c>
      <x:c r="F24" s="65" t="n">
        <x:v>51440</x:v>
      </x:c>
      <x:c r="G24" s="67" t="n">
        <x:f>F24*(1-$C24)</x:f>
        <x:v>49176.64</x:v>
      </x:c>
      <x:c r="H24" s="65" t="n">
        <x:v>62236</x:v>
      </x:c>
      <x:c r="I24" s="67" t="n">
        <x:f>H24*(1-$C24)</x:f>
        <x:v>59497.615999999995</x:v>
      </x:c>
      <x:c r="J24" s="65" t="n">
        <x:v>74596</x:v>
      </x:c>
      <x:c r="K24" s="67" t="n">
        <x:f>J24*(1-$C24)</x:f>
        <x:v>71313.776</x:v>
      </x:c>
      <x:c r="L24" s="65" t="n">
        <x:v>88704</x:v>
      </x:c>
      <x:c r="M24" s="67" t="n">
        <x:f>L24*(1-$C24)</x:f>
        <x:v>84801.02399999999</x:v>
      </x:c>
      <x:c r="N24" s="65" t="n">
        <x:v>115313</x:v>
      </x:c>
      <x:c r="O24" s="67" t="n">
        <x:f>N24*(1-$C24)</x:f>
        <x:v>110239.22799999999</x:v>
      </x:c>
      <x:c r="P24" s="65" t="n">
        <x:v>104821</x:v>
      </x:c>
      <x:c r="Q24" s="67" t="n">
        <x:f>P24*(1-$C24)</x:f>
        <x:v>100208.87599999999</x:v>
      </x:c>
      <x:c r="R24" s="65" t="n">
        <x:v>123298</x:v>
      </x:c>
      <x:c r="S24" s="67" t="n">
        <x:f>R24*(1-$C24)</x:f>
        <x:v>117872.88799999999</x:v>
      </x:c>
      <x:c r="T24" s="65" t="n">
        <x:v>160286</x:v>
      </x:c>
      <x:c r="U24" s="67" t="n">
        <x:f>T24*(1-$C24)</x:f>
        <x:v>153233.416</x:v>
      </x:c>
      <x:c r="V24" s="76" t="str">
        <x:v>https://www.opm.gov/policy-data-oversight/pay-leave/salaries-wages/salary-tables/19Tables/html/RUS.aspx</x:v>
      </x:c>
    </x:row>
    <x:row r="25">
      <x:c r="A25" s="19" t="n">
        <x:v>2020</x:v>
      </x:c>
      <x:c r="B25" s="19" t="str">
        <x:v>Actual</x:v>
      </x:c>
      <x:c r="C25" s="69" t="n">
        <x:f>'Assumptions &amp; Sources'!$B$10</x:f>
        <x:v>0.044</x:v>
      </x:c>
      <x:c r="D25" s="65" t="n">
        <x:v>43251</x:v>
      </x:c>
      <x:c r="E25" s="67" t="n">
        <x:f>D25*(1-$C25)</x:f>
        <x:v>41347.956</x:v>
      </x:c>
      <x:c r="F25" s="65" t="n">
        <x:v>52905</x:v>
      </x:c>
      <x:c r="G25" s="67" t="n">
        <x:f>F25*(1-$C25)</x:f>
        <x:v>50577.18</x:v>
      </x:c>
      <x:c r="H25" s="65" t="n">
        <x:v>64009</x:v>
      </x:c>
      <x:c r="I25" s="67" t="n">
        <x:f>H25*(1-$C25)</x:f>
        <x:v>61192.604</x:v>
      </x:c>
      <x:c r="J25" s="65" t="n">
        <x:v>76721</x:v>
      </x:c>
      <x:c r="K25" s="67" t="n">
        <x:f>J25*(1-$C25)</x:f>
        <x:v>73345.276</x:v>
      </x:c>
      <x:c r="L25" s="65" t="n">
        <x:v>91231</x:v>
      </x:c>
      <x:c r="M25" s="67" t="n">
        <x:f>L25*(1-$C25)</x:f>
        <x:v>87216.836</x:v>
      </x:c>
      <x:c r="N25" s="65" t="n">
        <x:v>118603</x:v>
      </x:c>
      <x:c r="O25" s="67" t="n">
        <x:f>N25*(1-$C25)</x:f>
        <x:v>113384.468</x:v>
      </x:c>
      <x:c r="P25" s="65" t="n">
        <x:v>107807</x:v>
      </x:c>
      <x:c r="Q25" s="67" t="n">
        <x:f>P25*(1-$C25)</x:f>
        <x:v>103063.492</x:v>
      </x:c>
      <x:c r="R25" s="65" t="n">
        <x:v>126810</x:v>
      </x:c>
      <x:c r="S25" s="67" t="n">
        <x:f>R25*(1-$C25)</x:f>
        <x:v>121230.36</x:v>
      </x:c>
      <x:c r="T25" s="65" t="n">
        <x:v>164858</x:v>
      </x:c>
      <x:c r="U25" s="67" t="n">
        <x:f>T25*(1-$C25)</x:f>
        <x:v>157604.248</x:v>
      </x:c>
      <x:c r="V25" s="76" t="str">
        <x:v>https://www.opm.gov/policy-data-oversight/pay-leave/salaries-wages/salary-tables/20Tables/html/RUS.aspx</x:v>
      </x:c>
    </x:row>
    <x:row r="26">
      <x:c r="A26" s="19" t="n">
        <x:v>2021</x:v>
      </x:c>
      <x:c r="B26" s="19" t="str">
        <x:v>Actual</x:v>
      </x:c>
      <x:c r="C26" s="69" t="n">
        <x:f>'Assumptions &amp; Sources'!$B$10</x:f>
        <x:v>0.044</x:v>
      </x:c>
      <x:c r="D26" s="65" t="n">
        <x:v>43683</x:v>
      </x:c>
      <x:c r="E26" s="67" t="n">
        <x:f>D26*(1-$C26)</x:f>
        <x:v>41760.948</x:v>
      </x:c>
      <x:c r="F26" s="65" t="n">
        <x:v>53433</x:v>
      </x:c>
      <x:c r="G26" s="67" t="n">
        <x:f>F26*(1-$C26)</x:f>
        <x:v>51081.948</x:v>
      </x:c>
      <x:c r="H26" s="65" t="n">
        <x:v>64649</x:v>
      </x:c>
      <x:c r="I26" s="67" t="n">
        <x:f>H26*(1-$C26)</x:f>
        <x:v>61804.443999999996</x:v>
      </x:c>
      <x:c r="J26" s="65" t="n">
        <x:v>77488</x:v>
      </x:c>
      <x:c r="K26" s="67" t="n">
        <x:f>J26*(1-$C26)</x:f>
        <x:v>74078.52799999999</x:v>
      </x:c>
      <x:c r="L26" s="65" t="n">
        <x:v>92143</x:v>
      </x:c>
      <x:c r="M26" s="67" t="n">
        <x:f>L26*(1-$C26)</x:f>
        <x:v>88088.708</x:v>
      </x:c>
      <x:c r="N26" s="65" t="n">
        <x:v>119787</x:v>
      </x:c>
      <x:c r="O26" s="67" t="n">
        <x:f>N26*(1-$C26)</x:f>
        <x:v>114516.37199999999</x:v>
      </x:c>
      <x:c r="P26" s="65" t="n">
        <x:v>108885</x:v>
      </x:c>
      <x:c r="Q26" s="67" t="n">
        <x:f>P26*(1-$C26)</x:f>
        <x:v>104094.06</x:v>
      </x:c>
      <x:c r="R26" s="65" t="n">
        <x:v>128078</x:v>
      </x:c>
      <x:c r="S26" s="67" t="n">
        <x:f>R26*(1-$C26)</x:f>
        <x:v>122442.568</x:v>
      </x:c>
      <x:c r="T26" s="65" t="n">
        <x:v>166502</x:v>
      </x:c>
      <x:c r="U26" s="67" t="n">
        <x:f>T26*(1-$C26)</x:f>
        <x:v>159175.91199999998</x:v>
      </x:c>
      <x:c r="V26" s="76" t="str">
        <x:v>https://www.opm.gov/policy-data-oversight/pay-leave/salaries-wages/salary-tables/21Tables/html/RUS.aspx</x:v>
      </x:c>
    </x:row>
    <x:row r="27">
      <x:c r="A27" s="19" t="n">
        <x:v>2022</x:v>
      </x:c>
      <x:c r="B27" s="19" t="str">
        <x:v>Actual</x:v>
      </x:c>
      <x:c r="C27" s="69" t="n">
        <x:f>'Assumptions &amp; Sources'!$B$10</x:f>
        <x:v>0.044</x:v>
      </x:c>
      <x:c r="D27" s="65" t="n">
        <x:v>44740</x:v>
      </x:c>
      <x:c r="E27" s="67" t="n">
        <x:f>D27*(1-$C27)</x:f>
        <x:v>42771.439999999995</x:v>
      </x:c>
      <x:c r="F27" s="65" t="n">
        <x:v>54727</x:v>
      </x:c>
      <x:c r="G27" s="67" t="n">
        <x:f>F27*(1-$C27)</x:f>
        <x:v>52319.011999999995</x:v>
      </x:c>
      <x:c r="H27" s="65" t="n">
        <x:v>66214</x:v>
      </x:c>
      <x:c r="I27" s="67" t="n">
        <x:f>H27*(1-$C27)</x:f>
        <x:v>63300.583999999995</x:v>
      </x:c>
      <x:c r="J27" s="65" t="n">
        <x:v>79363</x:v>
      </x:c>
      <x:c r="K27" s="67" t="n">
        <x:f>J27*(1-$C27)</x:f>
        <x:v>75871.02799999999</x:v>
      </x:c>
      <x:c r="L27" s="65" t="n">
        <x:v>94373</x:v>
      </x:c>
      <x:c r="M27" s="67" t="n">
        <x:f>L27*(1-$C27)</x:f>
        <x:v>90220.588</x:v>
      </x:c>
      <x:c r="N27" s="65" t="n">
        <x:v>122683</x:v>
      </x:c>
      <x:c r="O27" s="67" t="n">
        <x:f>N27*(1-$C27)</x:f>
        <x:v>117284.94799999999</x:v>
      </x:c>
      <x:c r="P27" s="65" t="n">
        <x:v>111521</x:v>
      </x:c>
      <x:c r="Q27" s="67" t="n">
        <x:f>P27*(1-$C27)</x:f>
        <x:v>106614.076</x:v>
      </x:c>
      <x:c r="R27" s="65" t="n">
        <x:v>131178</x:v>
      </x:c>
      <x:c r="S27" s="67" t="n">
        <x:f>R27*(1-$C27)</x:f>
        <x:v>125406.16799999999</x:v>
      </x:c>
      <x:c r="T27" s="65" t="n">
        <x:v>170532</x:v>
      </x:c>
      <x:c r="U27" s="67" t="n">
        <x:f>T27*(1-$C27)</x:f>
        <x:v>163028.592</x:v>
      </x:c>
      <x:c r="V27" s="76" t="str">
        <x:v>https://www.opm.gov/policy-data-oversight/pay-leave/salaries-wages/salary-tables/22Tables/html/RUS.aspx</x:v>
      </x:c>
    </x:row>
    <x:row r="28">
      <x:c r="A28" s="19" t="n">
        <x:v>2023</x:v>
      </x:c>
      <x:c r="B28" s="19" t="str">
        <x:v>Actual</x:v>
      </x:c>
      <x:c r="C28" s="69" t="n">
        <x:f>'Assumptions &amp; Sources'!$B$10</x:f>
        <x:v>0.044</x:v>
      </x:c>
      <x:c r="D28" s="65" t="n">
        <x:v>46696</x:v>
      </x:c>
      <x:c r="E28" s="67" t="n">
        <x:f>D28*(1-$C28)</x:f>
        <x:v>44641.376</x:v>
      </x:c>
      <x:c r="F28" s="65" t="n">
        <x:v>57118</x:v>
      </x:c>
      <x:c r="G28" s="67" t="n">
        <x:f>F28*(1-$C28)</x:f>
        <x:v>54604.808</x:v>
      </x:c>
      <x:c r="H28" s="65" t="n">
        <x:v>69107</x:v>
      </x:c>
      <x:c r="I28" s="67" t="n">
        <x:f>H28*(1-$C28)</x:f>
        <x:v>66066.292</x:v>
      </x:c>
      <x:c r="J28" s="65" t="n">
        <x:v>82830</x:v>
      </x:c>
      <x:c r="K28" s="67" t="n">
        <x:f>J28*(1-$C28)</x:f>
        <x:v>79185.48</x:v>
      </x:c>
      <x:c r="L28" s="65" t="n">
        <x:v>98496</x:v>
      </x:c>
      <x:c r="M28" s="67" t="n">
        <x:f>L28*(1-$C28)</x:f>
        <x:v>94162.17599999999</x:v>
      </x:c>
      <x:c r="N28" s="65" t="n">
        <x:v>128043</x:v>
      </x:c>
      <x:c r="O28" s="67" t="n">
        <x:f>N28*(1-$C28)</x:f>
        <x:v>122409.108</x:v>
      </x:c>
      <x:c r="P28" s="65" t="n">
        <x:v>116393</x:v>
      </x:c>
      <x:c r="Q28" s="67" t="n">
        <x:f>P28*(1-$C28)</x:f>
        <x:v>111271.708</x:v>
      </x:c>
      <x:c r="R28" s="65" t="n">
        <x:v>136908</x:v>
      </x:c>
      <x:c r="S28" s="67" t="n">
        <x:f>R28*(1-$C28)</x:f>
        <x:v>130884.048</x:v>
      </x:c>
      <x:c r="T28" s="65" t="n">
        <x:v>177978</x:v>
      </x:c>
      <x:c r="U28" s="67" t="n">
        <x:f>T28*(1-$C28)</x:f>
        <x:v>170146.968</x:v>
      </x:c>
      <x:c r="V28" s="76" t="str">
        <x:v>https://www.opm.gov/policy-data-oversight/pay-leave/salaries-wages/salary-tables/23Tables/html/RUS.aspx</x:v>
      </x:c>
    </x:row>
    <x:row r="29">
      <x:c r="A29" s="19" t="n">
        <x:v>2024</x:v>
      </x:c>
      <x:c r="B29" s="19" t="str">
        <x:v>Actual</x:v>
      </x:c>
      <x:c r="C29" s="69" t="n">
        <x:f>'Assumptions &amp; Sources'!$B$10</x:f>
        <x:v>0.044</x:v>
      </x:c>
      <x:c r="D29" s="65" t="n">
        <x:v>49025</x:v>
      </x:c>
      <x:c r="E29" s="67" t="n">
        <x:f>D29*(1-$C29)</x:f>
        <x:v>46867.9</x:v>
      </x:c>
      <x:c r="F29" s="65" t="n">
        <x:v>59966</x:v>
      </x:c>
      <x:c r="G29" s="67" t="n">
        <x:f>F29*(1-$C29)</x:f>
        <x:v>57327.496</x:v>
      </x:c>
      <x:c r="H29" s="65" t="n">
        <x:v>72553</x:v>
      </x:c>
      <x:c r="I29" s="67" t="n">
        <x:f>H29*(1-$C29)</x:f>
        <x:v>69360.66799999999</x:v>
      </x:c>
      <x:c r="J29" s="65" t="n">
        <x:v>86962</x:v>
      </x:c>
      <x:c r="K29" s="67" t="n">
        <x:f>J29*(1-$C29)</x:f>
        <x:v>83135.67199999999</x:v>
      </x:c>
      <x:c r="L29" s="65" t="n">
        <x:v>103409</x:v>
      </x:c>
      <x:c r="M29" s="67" t="n">
        <x:f>L29*(1-$C29)</x:f>
        <x:v>98859.004</x:v>
      </x:c>
      <x:c r="N29" s="65" t="n">
        <x:v>134435</x:v>
      </x:c>
      <x:c r="O29" s="67" t="n">
        <x:f>N29*(1-$C29)</x:f>
        <x:v>128519.86</x:v>
      </x:c>
      <x:c r="P29" s="65" t="n">
        <x:v>122198</x:v>
      </x:c>
      <x:c r="Q29" s="67" t="n">
        <x:f>P29*(1-$C29)</x:f>
        <x:v>116821.288</x:v>
      </x:c>
      <x:c r="R29" s="65" t="n">
        <x:v>143736</x:v>
      </x:c>
      <x:c r="S29" s="67" t="n">
        <x:f>R29*(1-$C29)</x:f>
        <x:v>137411.61599999998</x:v>
      </x:c>
      <x:c r="T29" s="65" t="n">
        <x:v>186854</x:v>
      </x:c>
      <x:c r="U29" s="67" t="n">
        <x:f>T29*(1-$C29)</x:f>
        <x:v>178632.424</x:v>
      </x:c>
      <x:c r="V29" s="76" t="str">
        <x:v>https://www.opm.gov/policy-data-oversight/pay-leave/salaries-wages/salary-tables/24Tables/html/RUS.aspx</x:v>
      </x:c>
    </x:row>
    <x:row r="30">
      <x:c r="A30" s="19" t="n">
        <x:v>2025</x:v>
      </x:c>
      <x:c r="B30" s="19" t="str">
        <x:v>Actual</x:v>
      </x:c>
      <x:c r="C30" s="69" t="n">
        <x:f>'Assumptions &amp; Sources'!$B$10</x:f>
        <x:v>0.044</x:v>
      </x:c>
      <x:c r="D30" s="65" t="n">
        <x:v>49960</x:v>
      </x:c>
      <x:c r="E30" s="67" t="n">
        <x:f>D30*(1-$C30)</x:f>
        <x:v>47761.759999999995</x:v>
      </x:c>
      <x:c r="F30" s="65" t="n">
        <x:v>61111</x:v>
      </x:c>
      <x:c r="G30" s="67" t="n">
        <x:f>F30*(1-$C30)</x:f>
        <x:v>58422.115999999995</x:v>
      </x:c>
      <x:c r="H30" s="65" t="n">
        <x:v>73939</x:v>
      </x:c>
      <x:c r="I30" s="67" t="n">
        <x:f>H30*(1-$C30)</x:f>
        <x:v>70685.684</x:v>
      </x:c>
      <x:c r="J30" s="65" t="n">
        <x:v>88621</x:v>
      </x:c>
      <x:c r="K30" s="67" t="n">
        <x:f>J30*(1-$C30)</x:f>
        <x:v>84721.67599999999</x:v>
      </x:c>
      <x:c r="L30" s="65" t="n">
        <x:v>105383</x:v>
      </x:c>
      <x:c r="M30" s="67" t="n">
        <x:f>L30*(1-$C30)</x:f>
        <x:v>100746.148</x:v>
      </x:c>
      <x:c r="N30" s="65" t="n">
        <x:v>137000</x:v>
      </x:c>
      <x:c r="O30" s="67" t="n">
        <x:f>N30*(1-$C30)</x:f>
        <x:v>130972</x:v>
      </x:c>
      <x:c r="P30" s="65" t="n">
        <x:v>124531</x:v>
      </x:c>
      <x:c r="Q30" s="67" t="n">
        <x:f>P30*(1-$C30)</x:f>
        <x:v>119051.636</x:v>
      </x:c>
      <x:c r="R30" s="65" t="n">
        <x:v>146481</x:v>
      </x:c>
      <x:c r="S30" s="67" t="n">
        <x:f>R30*(1-$C30)</x:f>
        <x:v>140035.83599999998</x:v>
      </x:c>
      <x:c r="T30" s="65" t="n">
        <x:v>190424</x:v>
      </x:c>
      <x:c r="U30" s="67" t="n">
        <x:f>T30*(1-$C30)</x:f>
        <x:v>182045.34399999998</x:v>
      </x:c>
      <x:c r="V30" s="76" t="str">
        <x:v>https://www.opm.gov/policy-data-oversight/pay-leave/salaries-wages/salary-tables/25Tables/html/RUS.aspx</x:v>
      </x:c>
    </x:row>
    <x:row r="31">
      <x:c r="A31" s="19" t="n">
        <x:v>2026</x:v>
      </x:c>
      <x:c r="B31" s="19" t="str">
        <x:v>Actual</x:v>
      </x:c>
      <x:c r="C31" s="69" t="n">
        <x:f>'Assumptions &amp; Sources'!$B$10</x:f>
        <x:v>0.044</x:v>
      </x:c>
      <x:c r="D31" s="65" t="n">
        <x:v>50460</x:v>
      </x:c>
      <x:c r="E31" s="67" t="n">
        <x:f>D31*(1-$C31)</x:f>
        <x:v>48239.759999999995</x:v>
      </x:c>
      <x:c r="F31" s="65" t="n">
        <x:v>61722</x:v>
      </x:c>
      <x:c r="G31" s="67" t="n">
        <x:f>F31*(1-$C31)</x:f>
        <x:v>59006.231999999996</x:v>
      </x:c>
      <x:c r="H31" s="65" t="n">
        <x:v>74678</x:v>
      </x:c>
      <x:c r="I31" s="67" t="n">
        <x:f>H31*(1-$C31)</x:f>
        <x:v>71392.16799999999</x:v>
      </x:c>
      <x:c r="J31" s="65" t="n">
        <x:v>89508</x:v>
      </x:c>
      <x:c r="K31" s="67" t="n">
        <x:f>J31*(1-$C31)</x:f>
        <x:v>85569.648</x:v>
      </x:c>
      <x:c r="L31" s="65" t="n">
        <x:v>106437</x:v>
      </x:c>
      <x:c r="M31" s="67" t="n">
        <x:f>L31*(1-$C31)</x:f>
        <x:v>101753.772</x:v>
      </x:c>
      <x:c r="N31" s="65" t="n">
        <x:v>138370</x:v>
      </x:c>
      <x:c r="O31" s="67" t="n">
        <x:f>N31*(1-$C31)</x:f>
        <x:v>132281.72</x:v>
      </x:c>
      <x:c r="P31" s="65" t="n">
        <x:v>125776</x:v>
      </x:c>
      <x:c r="Q31" s="67" t="n">
        <x:f>P31*(1-$C31)</x:f>
        <x:v>120241.856</x:v>
      </x:c>
      <x:c r="R31" s="65" t="n">
        <x:v>147945</x:v>
      </x:c>
      <x:c r="S31" s="67" t="n">
        <x:f>R31*(1-$C31)</x:f>
        <x:v>141435.41999999998</x:v>
      </x:c>
      <x:c r="T31" s="65" t="n">
        <x:v>192331</x:v>
      </x:c>
      <x:c r="U31" s="67" t="n">
        <x:f>T31*(1-$C31)</x:f>
        <x:v>183868.436</x:v>
      </x:c>
      <x:c r="V31" s="76" t="str">
        <x:v>https://www.opm.gov/policy-data-oversight/pay-leave/salaries-wages/salary-tables/26Tables/html/RUS.aspx</x:v>
      </x:c>
    </x:row>
    <x:row r="32">
      <x:c r="A32" s="70" t="str">
        <x:v>2027F</x:v>
      </x:c>
      <x:c r="B32" s="70" t="str">
        <x:v>Forecast</x:v>
      </x:c>
      <x:c r="C32" s="71" t="n">
        <x:f>'Assumptions &amp; Sources'!$B$10</x:f>
        <x:v>0.044</x:v>
      </x:c>
      <x:c r="D32" s="72" t="n">
        <x:f>D31*(1+'Assumptions &amp; Sources'!$B$13)</x:f>
        <x:v>50460</x:v>
      </x:c>
      <x:c r="E32" s="72" t="n">
        <x:f>D32*(1-$C32)</x:f>
        <x:v>48239.759999999995</x:v>
      </x:c>
      <x:c r="F32" s="72" t="n">
        <x:f>F31*(1+'Assumptions &amp; Sources'!$B$13)</x:f>
        <x:v>61722</x:v>
      </x:c>
      <x:c r="G32" s="72" t="n">
        <x:f>F32*(1-$C32)</x:f>
        <x:v>59006.231999999996</x:v>
      </x:c>
      <x:c r="H32" s="72" t="n">
        <x:f>H31*(1+'Assumptions &amp; Sources'!$B$13)</x:f>
        <x:v>74678</x:v>
      </x:c>
      <x:c r="I32" s="72" t="n">
        <x:f>H32*(1-$C32)</x:f>
        <x:v>71392.16799999999</x:v>
      </x:c>
      <x:c r="J32" s="72" t="n">
        <x:f>J31*(1+'Assumptions &amp; Sources'!$B$13)</x:f>
        <x:v>89508</x:v>
      </x:c>
      <x:c r="K32" s="72" t="n">
        <x:f>J32*(1-$C32)</x:f>
        <x:v>85569.648</x:v>
      </x:c>
      <x:c r="L32" s="72" t="n">
        <x:f>L31*(1+'Assumptions &amp; Sources'!$B$13)</x:f>
        <x:v>106437</x:v>
      </x:c>
      <x:c r="M32" s="72" t="n">
        <x:f>L32*(1-$C32)</x:f>
        <x:v>101753.772</x:v>
      </x:c>
      <x:c r="N32" s="72" t="n">
        <x:f>N31*(1+'Assumptions &amp; Sources'!$B$13)</x:f>
        <x:v>138370</x:v>
      </x:c>
      <x:c r="O32" s="72" t="n">
        <x:f>N32*(1-$C32)</x:f>
        <x:v>132281.72</x:v>
      </x:c>
      <x:c r="P32" s="72" t="n">
        <x:f>P31*(1+'Assumptions &amp; Sources'!$B$13)</x:f>
        <x:v>125776</x:v>
      </x:c>
      <x:c r="Q32" s="72" t="n">
        <x:f>P32*(1-$C32)</x:f>
        <x:v>120241.856</x:v>
      </x:c>
      <x:c r="R32" s="72" t="n">
        <x:f>R31*(1+'Assumptions &amp; Sources'!$B$13)</x:f>
        <x:v>147945</x:v>
      </x:c>
      <x:c r="S32" s="72" t="n">
        <x:f>R32*(1-$C32)</x:f>
        <x:v>141435.41999999998</x:v>
      </x:c>
      <x:c r="T32" s="72" t="n">
        <x:f>T31*(1+'Assumptions &amp; Sources'!$B$13)</x:f>
        <x:v>192331</x:v>
      </x:c>
      <x:c r="U32" s="72" t="n">
        <x:f>T32*(1-$C32)</x:f>
        <x:v>183868.436</x:v>
      </x:c>
      <x:c r="V32" s="76" t="str">
        <x:v>https://www.whitehouse.gov/wp-content/uploads/2026/04/budget_fy2027.pdf</x:v>
      </x:c>
    </x:row>
  </x:sheetData>
  <x:mergeCells>
    <x:mergeCell ref="A1:V1"/>
    <x:mergeCell ref="A2:V2"/>
  </x:mergeCells>
  <x:pageMargins left="0.7" right="0.7" top="0.75" bottom="0.75" header="0.3" footer="0.3"/>
  <x:tableParts count="1">
    <x:tablePart xmlns:r="http://schemas.openxmlformats.org/officeDocument/2006/relationships" r:id="Rdb42af590a164c7b"/>
  </x:tableParts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1" hidden="0" customWidth="1"/>
    <x:col min="3" max="3" width="10" hidden="0" customWidth="1"/>
    <x:col min="4" max="4" width="20" hidden="0" customWidth="1"/>
    <x:col min="5" max="5" width="16" hidden="0" customWidth="1"/>
    <x:col min="6" max="6" width="15" hidden="0" customWidth="1"/>
    <x:col min="7" max="7" width="15" hidden="0" customWidth="1"/>
    <x:col min="8" max="8" width="14" hidden="0" customWidth="1"/>
    <x:col min="9" max="9" width="14" hidden="0" customWidth="1"/>
    <x:col min="10" max="10" width="16" hidden="0" customWidth="1"/>
    <x:col min="11" max="11" width="16" hidden="0" customWidth="1"/>
    <x:col min="12" max="12" width="17" hidden="0" customWidth="1"/>
    <x:col min="13" max="13" width="17" hidden="0" customWidth="1"/>
    <x:col min="14" max="14" width="18" hidden="0" customWidth="1"/>
    <x:col min="15" max="15" width="18" hidden="0" customWidth="1"/>
    <x:col min="16" max="16" width="25" hidden="0" customWidth="1"/>
    <x:col min="17" max="17" width="48" hidden="0" customWidth="1"/>
    <x:col min="18" max="18" width="45" hidden="0" customWidth="1"/>
    <x:col min="19" max="19" width="45" hidden="0" customWidth="1"/>
    <x:col min="20" max="20" width="45" hidden="0" customWidth="1"/>
  </x:cols>
  <x:sheetData>
    <x:row r="1" ht="32" customHeight="1">
      <x:c r="A1" s="3" t="str">
        <x:v>Officer Compensation Detail: Hill AFB, Utah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</x:row>
    <x:row r="2" ht="34" customHeight="1">
      <x:c r="A2" s="7" t="str">
        <x:v>Each row shows the exact monthly rate and monthly × 12 annualization. BAH uses ZIP 84056, with dependents, for OGDEN/HILL AFB, UT (UT291).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</x:row>
    <x:row r="5" ht="32" customHeight="1">
      <x:c r="A5" s="13" t="str">
        <x:v>Year</x:v>
      </x:c>
      <x:c r="B5" s="13" t="str">
        <x:v>Status</x:v>
      </x:c>
      <x:c r="C5" s="13" t="str">
        <x:v>Series</x:v>
      </x:c>
      <x:c r="D5" s="13" t="str">
        <x:v>Representative Profile</x:v>
      </x:c>
      <x:c r="E5" s="13" t="str">
        <x:v>2027 Basic-Pay Change</x:v>
      </x:c>
      <x:c r="F5" s="13" t="str">
        <x:v>Monthly Basic Pay</x:v>
      </x:c>
      <x:c r="G5" s="13" t="str">
        <x:v>Annual Basic Pay</x:v>
      </x:c>
      <x:c r="H5" s="13" t="str">
        <x:v>Monthly BAH</x:v>
      </x:c>
      <x:c r="I5" s="13" t="str">
        <x:v>Annual BAH</x:v>
      </x:c>
      <x:c r="J5" s="13" t="str">
        <x:v>Monthly Officer BAS</x:v>
      </x:c>
      <x:c r="K5" s="13" t="str">
        <x:v>Annual Officer BAS</x:v>
      </x:c>
      <x:c r="L5" s="13" t="str">
        <x:v>Tax-Exempt Allowances</x:v>
      </x:c>
      <x:c r="M5" s="13" t="str">
        <x:v>Total Compensation</x:v>
      </x:c>
      <x:c r="N5" s="13" t="str">
        <x:v>Estimated Federal Tax Advantage</x:v>
      </x:c>
      <x:c r="O5" s="13" t="str">
        <x:v>Taxable-Salary Equivalent</x:v>
      </x:c>
      <x:c r="P5" s="13" t="str">
        <x:v>Military Housing Area</x:v>
      </x:c>
      <x:c r="Q5" s="13" t="str">
        <x:v>BAH Query Inputs</x:v>
      </x:c>
      <x:c r="R5" s="13" t="str">
        <x:v>Basic-Pay Source</x:v>
      </x:c>
      <x:c r="S5" s="13" t="str">
        <x:v>BAH Source</x:v>
      </x:c>
      <x:c r="T5" s="13" t="str">
        <x:v>BAS Source</x:v>
      </x:c>
    </x:row>
    <x:row r="6">
      <x:c r="A6" s="18" t="n">
        <x:v>2001</x:v>
      </x:c>
      <x:c r="B6" s="18" t="str">
        <x:v>Actual</x:v>
      </x:c>
      <x:c r="C6" s="18" t="str">
        <x:v>O-1</x:v>
      </x:c>
      <x:c r="D6" s="18" t="str">
        <x:v>O-1 under 2</x:v>
      </x:c>
      <x:c r="E6" s="68" t="n">
        <x:v>0</x:v>
      </x:c>
      <x:c r="F6" s="77" t="n">
        <x:v>1997.7</x:v>
      </x:c>
      <x:c r="G6" s="78" t="n">
        <x:f>F6*'Assumptions &amp; Sources'!$B$7</x:f>
        <x:v>23972.4</x:v>
      </x:c>
      <x:c r="H6" s="77" t="n">
        <x:v>677</x:v>
      </x:c>
      <x:c r="I6" s="78" t="n">
        <x:f>H6*'Assumptions &amp; Sources'!$B$7</x:f>
        <x:v>8124</x:v>
      </x:c>
      <x:c r="J6" s="77" t="n">
        <x:v>160.42</x:v>
      </x:c>
      <x:c r="K6" s="78" t="n">
        <x:f>J6*'Assumptions &amp; Sources'!$B$7</x:f>
        <x:v>1925.04</x:v>
      </x:c>
      <x:c r="L6" s="78" t="n">
        <x:f>I6+K6</x:f>
        <x:v>10049.04</x:v>
      </x:c>
      <x:c r="M6" s="78" t="n">
        <x:f>G6+I6+K6</x:f>
        <x:v>34021.44</x:v>
      </x:c>
      <x:c r="N6" s="78" t="n">
        <x:f>L6*'Dashboard'!$K$4/(1-'Dashboard'!$K$4)</x:f>
        <x:v>2834.3446153846157</x:v>
      </x:c>
      <x:c r="O6" s="78" t="n">
        <x:f>M6+N6</x:f>
        <x:v>36855.78461538462</x:v>
      </x:c>
      <x:c r="P6" s="27" t="str">
        <x:v>OGDEN/HILL AFB, UT (UT291)</x:v>
      </x:c>
      <x:c r="Q6" s="27" t="str">
        <x:v>Year=2001; ZIP=84056; Pay grade=O-1; Dependents=With dependents</x:v>
      </x:c>
      <x:c r="R6" s="75" t="str">
        <x:v>https://www.dfas.mil/Portals/98/MilPayTable2001.pdf</x:v>
      </x:c>
      <x:c r="S6" s="75" t="str">
        <x:v>https://www.travel.dod.mil/Allowances/Basic-Allowance-for-Housing/BAH-Rate-Lookup/</x:v>
      </x:c>
      <x:c r="T6" s="75" t="str">
        <x:v>https://www.dfas.mil/Portals/98/MilPayTable2001.pdf</x:v>
      </x:c>
    </x:row>
    <x:row r="7">
      <x:c r="A7" s="19" t="n">
        <x:v>2001</x:v>
      </x:c>
      <x:c r="B7" s="19" t="str">
        <x:v>Actual</x:v>
      </x:c>
      <x:c r="C7" s="19" t="str">
        <x:v>O-2</x:v>
      </x:c>
      <x:c r="D7" s="19" t="str">
        <x:v>O-2 over 2</x:v>
      </x:c>
      <x:c r="E7" s="69" t="n">
        <x:v>0</x:v>
      </x:c>
      <x:c r="F7" s="79" t="n">
        <x:v>2620.8</x:v>
      </x:c>
      <x:c r="G7" s="80" t="n">
        <x:f>F7*'Assumptions &amp; Sources'!$B$7</x:f>
        <x:v>31449.600000000002</x:v>
      </x:c>
      <x:c r="H7" s="79" t="n">
        <x:v>761</x:v>
      </x:c>
      <x:c r="I7" s="80" t="n">
        <x:f>H7*'Assumptions &amp; Sources'!$B$7</x:f>
        <x:v>9132</x:v>
      </x:c>
      <x:c r="J7" s="79" t="n">
        <x:v>160.42</x:v>
      </x:c>
      <x:c r="K7" s="80" t="n">
        <x:f>J7*'Assumptions &amp; Sources'!$B$7</x:f>
        <x:v>1925.04</x:v>
      </x:c>
      <x:c r="L7" s="80" t="n">
        <x:f>I7+K7</x:f>
        <x:v>11057.04</x:v>
      </x:c>
      <x:c r="M7" s="80" t="n">
        <x:f>G7+I7+K7</x:f>
        <x:v>42506.64000000001</x:v>
      </x:c>
      <x:c r="N7" s="80" t="n">
        <x:f>L7*'Dashboard'!$K$4/(1-'Dashboard'!$K$4)</x:f>
        <x:v>3118.6523076923077</x:v>
      </x:c>
      <x:c r="O7" s="80" t="n">
        <x:f>M7+N7</x:f>
        <x:v>45625.29230769232</x:v>
      </x:c>
      <x:c r="P7" s="30" t="str">
        <x:v>OGDEN/HILL AFB, UT (UT291)</x:v>
      </x:c>
      <x:c r="Q7" s="30" t="str">
        <x:v>Year=2001; ZIP=84056; Pay grade=O-2; Dependents=With dependents</x:v>
      </x:c>
      <x:c r="R7" s="76" t="str">
        <x:v>https://www.dfas.mil/Portals/98/MilPayTable2001.pdf</x:v>
      </x:c>
      <x:c r="S7" s="76" t="str">
        <x:v>https://www.travel.dod.mil/Allowances/Basic-Allowance-for-Housing/BAH-Rate-Lookup/</x:v>
      </x:c>
      <x:c r="T7" s="76" t="str">
        <x:v>https://www.dfas.mil/Portals/98/MilPayTable2001.pdf</x:v>
      </x:c>
    </x:row>
    <x:row r="8">
      <x:c r="A8" s="19" t="n">
        <x:v>2001</x:v>
      </x:c>
      <x:c r="B8" s="19" t="str">
        <x:v>Actual</x:v>
      </x:c>
      <x:c r="C8" s="19" t="str">
        <x:v>O-3</x:v>
      </x:c>
      <x:c r="D8" s="19" t="str">
        <x:v>O-3 over 6</x:v>
      </x:c>
      <x:c r="E8" s="69" t="n">
        <x:v>0</x:v>
      </x:c>
      <x:c r="F8" s="79" t="n">
        <x:v>3656.4</x:v>
      </x:c>
      <x:c r="G8" s="80" t="n">
        <x:f>F8*'Assumptions &amp; Sources'!$B$7</x:f>
        <x:v>43876.8</x:v>
      </x:c>
      <x:c r="H8" s="79" t="n">
        <x:v>852</x:v>
      </x:c>
      <x:c r="I8" s="80" t="n">
        <x:f>H8*'Assumptions &amp; Sources'!$B$7</x:f>
        <x:v>10224</x:v>
      </x:c>
      <x:c r="J8" s="79" t="n">
        <x:v>160.42</x:v>
      </x:c>
      <x:c r="K8" s="80" t="n">
        <x:f>J8*'Assumptions &amp; Sources'!$B$7</x:f>
        <x:v>1925.04</x:v>
      </x:c>
      <x:c r="L8" s="80" t="n">
        <x:f>I8+K8</x:f>
        <x:v>12149.04</x:v>
      </x:c>
      <x:c r="M8" s="80" t="n">
        <x:f>G8+I8+K8</x:f>
        <x:v>56025.840000000004</x:v>
      </x:c>
      <x:c r="N8" s="80" t="n">
        <x:f>L8*'Dashboard'!$K$4/(1-'Dashboard'!$K$4)</x:f>
        <x:v>3426.652307692308</x:v>
      </x:c>
      <x:c r="O8" s="80" t="n">
        <x:f>M8+N8</x:f>
        <x:v>59452.492307692315</x:v>
      </x:c>
      <x:c r="P8" s="30" t="str">
        <x:v>OGDEN/HILL AFB, UT (UT291)</x:v>
      </x:c>
      <x:c r="Q8" s="30" t="str">
        <x:v>Year=2001; ZIP=84056; Pay grade=O-3; Dependents=With dependents</x:v>
      </x:c>
      <x:c r="R8" s="76" t="str">
        <x:v>https://www.dfas.mil/Portals/98/MilPayTable2001.pdf</x:v>
      </x:c>
      <x:c r="S8" s="76" t="str">
        <x:v>https://www.travel.dod.mil/Allowances/Basic-Allowance-for-Housing/BAH-Rate-Lookup/</x:v>
      </x:c>
      <x:c r="T8" s="76" t="str">
        <x:v>https://www.dfas.mil/Portals/98/MilPayTable2001.pdf</x:v>
      </x:c>
    </x:row>
    <x:row r="9">
      <x:c r="A9" s="19" t="n">
        <x:v>2001</x:v>
      </x:c>
      <x:c r="B9" s="19" t="str">
        <x:v>Actual</x:v>
      </x:c>
      <x:c r="C9" s="19" t="str">
        <x:v>O-4</x:v>
      </x:c>
      <x:c r="D9" s="19" t="str">
        <x:v>O-4 over 10</x:v>
      </x:c>
      <x:c r="E9" s="69" t="n">
        <x:v>0</x:v>
      </x:c>
      <x:c r="F9" s="79" t="n">
        <x:v>4409.7</x:v>
      </x:c>
      <x:c r="G9" s="80" t="n">
        <x:f>F9*'Assumptions &amp; Sources'!$B$7</x:f>
        <x:v>52916.399999999994</x:v>
      </x:c>
      <x:c r="H9" s="79" t="n">
        <x:v>920</x:v>
      </x:c>
      <x:c r="I9" s="80" t="n">
        <x:f>H9*'Assumptions &amp; Sources'!$B$7</x:f>
        <x:v>11040</x:v>
      </x:c>
      <x:c r="J9" s="79" t="n">
        <x:v>160.42</x:v>
      </x:c>
      <x:c r="K9" s="80" t="n">
        <x:f>J9*'Assumptions &amp; Sources'!$B$7</x:f>
        <x:v>1925.04</x:v>
      </x:c>
      <x:c r="L9" s="80" t="n">
        <x:f>I9+K9</x:f>
        <x:v>12965.04</x:v>
      </x:c>
      <x:c r="M9" s="80" t="n">
        <x:f>G9+I9+K9</x:f>
        <x:v>65881.43999999999</x:v>
      </x:c>
      <x:c r="N9" s="80" t="n">
        <x:f>L9*'Dashboard'!$K$4/(1-'Dashboard'!$K$4)</x:f>
        <x:v>3656.806153846154</x:v>
      </x:c>
      <x:c r="O9" s="80" t="n">
        <x:f>M9+N9</x:f>
        <x:v>69538.24615384614</x:v>
      </x:c>
      <x:c r="P9" s="30" t="str">
        <x:v>OGDEN/HILL AFB, UT (UT291)</x:v>
      </x:c>
      <x:c r="Q9" s="30" t="str">
        <x:v>Year=2001; ZIP=84056; Pay grade=O-4; Dependents=With dependents</x:v>
      </x:c>
      <x:c r="R9" s="76" t="str">
        <x:v>https://www.dfas.mil/Portals/98/MilPayTable2001.pdf</x:v>
      </x:c>
      <x:c r="S9" s="76" t="str">
        <x:v>https://www.travel.dod.mil/Allowances/Basic-Allowance-for-Housing/BAH-Rate-Lookup/</x:v>
      </x:c>
      <x:c r="T9" s="76" t="str">
        <x:v>https://www.dfas.mil/Portals/98/MilPayTable2001.pdf</x:v>
      </x:c>
    </x:row>
    <x:row r="10">
      <x:c r="A10" s="19" t="n">
        <x:v>2001</x:v>
      </x:c>
      <x:c r="B10" s="19" t="str">
        <x:v>Actual</x:v>
      </x:c>
      <x:c r="C10" s="19" t="str">
        <x:v>O-5</x:v>
      </x:c>
      <x:c r="D10" s="19" t="str">
        <x:v>O-5 over 16</x:v>
      </x:c>
      <x:c r="E10" s="69" t="n">
        <x:v>0</x:v>
      </x:c>
      <x:c r="F10" s="79" t="n">
        <x:v>5637</x:v>
      </x:c>
      <x:c r="G10" s="80" t="n">
        <x:f>F10*'Assumptions &amp; Sources'!$B$7</x:f>
        <x:v>67644</x:v>
      </x:c>
      <x:c r="H10" s="79" t="n">
        <x:v>980</x:v>
      </x:c>
      <x:c r="I10" s="80" t="n">
        <x:f>H10*'Assumptions &amp; Sources'!$B$7</x:f>
        <x:v>11760</x:v>
      </x:c>
      <x:c r="J10" s="79" t="n">
        <x:v>160.42</x:v>
      </x:c>
      <x:c r="K10" s="80" t="n">
        <x:f>J10*'Assumptions &amp; Sources'!$B$7</x:f>
        <x:v>1925.04</x:v>
      </x:c>
      <x:c r="L10" s="80" t="n">
        <x:f>I10+K10</x:f>
        <x:v>13685.04</x:v>
      </x:c>
      <x:c r="M10" s="80" t="n">
        <x:f>G10+I10+K10</x:f>
        <x:v>81329.04</x:v>
      </x:c>
      <x:c r="N10" s="80" t="n">
        <x:f>L10*'Dashboard'!$K$4/(1-'Dashboard'!$K$4)</x:f>
        <x:v>3859.883076923077</x:v>
      </x:c>
      <x:c r="O10" s="80" t="n">
        <x:f>M10+N10</x:f>
        <x:v>85188.92307692306</x:v>
      </x:c>
      <x:c r="P10" s="30" t="str">
        <x:v>OGDEN/HILL AFB, UT (UT291)</x:v>
      </x:c>
      <x:c r="Q10" s="30" t="str">
        <x:v>Year=2001; ZIP=84056; Pay grade=O-5; Dependents=With dependents</x:v>
      </x:c>
      <x:c r="R10" s="76" t="str">
        <x:v>https://www.dfas.mil/Portals/98/MilPayTable2001.pdf</x:v>
      </x:c>
      <x:c r="S10" s="76" t="str">
        <x:v>https://www.travel.dod.mil/Allowances/Basic-Allowance-for-Housing/BAH-Rate-Lookup/</x:v>
      </x:c>
      <x:c r="T10" s="76" t="str">
        <x:v>https://www.dfas.mil/Portals/98/MilPayTable2001.pdf</x:v>
      </x:c>
    </x:row>
    <x:row r="11">
      <x:c r="A11" s="19" t="n">
        <x:v>2001</x:v>
      </x:c>
      <x:c r="B11" s="19" t="str">
        <x:v>Actual</x:v>
      </x:c>
      <x:c r="C11" s="19" t="str">
        <x:v>O-6</x:v>
      </x:c>
      <x:c r="D11" s="19" t="str">
        <x:v>O-6 over 22</x:v>
      </x:c>
      <x:c r="E11" s="69" t="n">
        <x:v>0</x:v>
      </x:c>
      <x:c r="F11" s="79" t="n">
        <x:v>6791.4</x:v>
      </x:c>
      <x:c r="G11" s="80" t="n">
        <x:f>F11*'Assumptions &amp; Sources'!$B$7</x:f>
        <x:v>81496.79999999999</x:v>
      </x:c>
      <x:c r="H11" s="79" t="n">
        <x:v>997</x:v>
      </x:c>
      <x:c r="I11" s="80" t="n">
        <x:f>H11*'Assumptions &amp; Sources'!$B$7</x:f>
        <x:v>11964</x:v>
      </x:c>
      <x:c r="J11" s="79" t="n">
        <x:v>160.42</x:v>
      </x:c>
      <x:c r="K11" s="80" t="n">
        <x:f>J11*'Assumptions &amp; Sources'!$B$7</x:f>
        <x:v>1925.04</x:v>
      </x:c>
      <x:c r="L11" s="80" t="n">
        <x:f>I11+K11</x:f>
        <x:v>13889.04</x:v>
      </x:c>
      <x:c r="M11" s="80" t="n">
        <x:f>G11+I11+K11</x:f>
        <x:v>95385.83999999998</x:v>
      </x:c>
      <x:c r="N11" s="80" t="n">
        <x:f>L11*'Dashboard'!$K$4/(1-'Dashboard'!$K$4)</x:f>
        <x:v>3917.421538461538</x:v>
      </x:c>
      <x:c r="O11" s="80" t="n">
        <x:f>M11+N11</x:f>
        <x:v>99303.26153846152</x:v>
      </x:c>
      <x:c r="P11" s="30" t="str">
        <x:v>OGDEN/HILL AFB, UT (UT291)</x:v>
      </x:c>
      <x:c r="Q11" s="30" t="str">
        <x:v>Year=2001; ZIP=84056; Pay grade=O-6; Dependents=With dependents</x:v>
      </x:c>
      <x:c r="R11" s="76" t="str">
        <x:v>https://www.dfas.mil/Portals/98/MilPayTable2001.pdf</x:v>
      </x:c>
      <x:c r="S11" s="76" t="str">
        <x:v>https://www.travel.dod.mil/Allowances/Basic-Allowance-for-Housing/BAH-Rate-Lookup/</x:v>
      </x:c>
      <x:c r="T11" s="76" t="str">
        <x:v>https://www.dfas.mil/Portals/98/MilPayTable2001.pdf</x:v>
      </x:c>
    </x:row>
    <x:row r="12">
      <x:c r="A12" s="19" t="n">
        <x:v>2002</x:v>
      </x:c>
      <x:c r="B12" s="19" t="str">
        <x:v>Actual</x:v>
      </x:c>
      <x:c r="C12" s="19" t="str">
        <x:v>O-1</x:v>
      </x:c>
      <x:c r="D12" s="19" t="str">
        <x:v>O-1 under 2</x:v>
      </x:c>
      <x:c r="E12" s="69" t="n">
        <x:v>0</x:v>
      </x:c>
      <x:c r="F12" s="79" t="n">
        <x:v>2097.6</x:v>
      </x:c>
      <x:c r="G12" s="80" t="n">
        <x:f>F12*'Assumptions &amp; Sources'!$B$7</x:f>
        <x:v>25171.199999999997</x:v>
      </x:c>
      <x:c r="H12" s="79" t="n">
        <x:v>677</x:v>
      </x:c>
      <x:c r="I12" s="80" t="n">
        <x:f>H12*'Assumptions &amp; Sources'!$B$7</x:f>
        <x:v>8124</x:v>
      </x:c>
      <x:c r="J12" s="79" t="n">
        <x:v>166.37</x:v>
      </x:c>
      <x:c r="K12" s="80" t="n">
        <x:f>J12*'Assumptions &amp; Sources'!$B$7</x:f>
        <x:v>1996.44</x:v>
      </x:c>
      <x:c r="L12" s="80" t="n">
        <x:f>I12+K12</x:f>
        <x:v>10120.44</x:v>
      </x:c>
      <x:c r="M12" s="80" t="n">
        <x:f>G12+I12+K12</x:f>
        <x:v>35291.64</x:v>
      </x:c>
      <x:c r="N12" s="80" t="n">
        <x:f>L12*'Dashboard'!$K$4/(1-'Dashboard'!$K$4)</x:f>
        <x:v>2854.483076923077</x:v>
      </x:c>
      <x:c r="O12" s="80" t="n">
        <x:f>M12+N12</x:f>
        <x:v>38146.123076923075</x:v>
      </x:c>
      <x:c r="P12" s="30" t="str">
        <x:v>OGDEN/HILL AFB, UT (UT291)</x:v>
      </x:c>
      <x:c r="Q12" s="30" t="str">
        <x:v>Year=2002; ZIP=84056; Pay grade=O-1; Dependents=With dependents</x:v>
      </x:c>
      <x:c r="R12" s="76" t="str">
        <x:v>https://www.dfas.mil/Portals/98/MilPayTable2002.pdf</x:v>
      </x:c>
      <x:c r="S12" s="76" t="str">
        <x:v>https://www.travel.dod.mil/Allowances/Basic-Allowance-for-Housing/BAH-Rate-Lookup/</x:v>
      </x:c>
      <x:c r="T12" s="76" t="str">
        <x:v>https://www.dfas.mil/Portals/98/MilPayTable2002.pdf</x:v>
      </x:c>
    </x:row>
    <x:row r="13">
      <x:c r="A13" s="19" t="n">
        <x:v>2002</x:v>
      </x:c>
      <x:c r="B13" s="19" t="str">
        <x:v>Actual</x:v>
      </x:c>
      <x:c r="C13" s="19" t="str">
        <x:v>O-2</x:v>
      </x:c>
      <x:c r="D13" s="19" t="str">
        <x:v>O-2 over 2</x:v>
      </x:c>
      <x:c r="E13" s="69" t="n">
        <x:v>0</x:v>
      </x:c>
      <x:c r="F13" s="79" t="n">
        <x:v>2751.9</x:v>
      </x:c>
      <x:c r="G13" s="80" t="n">
        <x:f>F13*'Assumptions &amp; Sources'!$B$7</x:f>
        <x:v>33022.8</x:v>
      </x:c>
      <x:c r="H13" s="79" t="n">
        <x:v>761</x:v>
      </x:c>
      <x:c r="I13" s="80" t="n">
        <x:f>H13*'Assumptions &amp; Sources'!$B$7</x:f>
        <x:v>9132</x:v>
      </x:c>
      <x:c r="J13" s="79" t="n">
        <x:v>166.37</x:v>
      </x:c>
      <x:c r="K13" s="80" t="n">
        <x:f>J13*'Assumptions &amp; Sources'!$B$7</x:f>
        <x:v>1996.44</x:v>
      </x:c>
      <x:c r="L13" s="80" t="n">
        <x:f>I13+K13</x:f>
        <x:v>11128.44</x:v>
      </x:c>
      <x:c r="M13" s="80" t="n">
        <x:f>G13+I13+K13</x:f>
        <x:v>44151.240000000005</x:v>
      </x:c>
      <x:c r="N13" s="80" t="n">
        <x:f>L13*'Dashboard'!$K$4/(1-'Dashboard'!$K$4)</x:f>
        <x:v>3138.7907692307695</x:v>
      </x:c>
      <x:c r="O13" s="80" t="n">
        <x:f>M13+N13</x:f>
        <x:v>47290.030769230776</x:v>
      </x:c>
      <x:c r="P13" s="30" t="str">
        <x:v>OGDEN/HILL AFB, UT (UT291)</x:v>
      </x:c>
      <x:c r="Q13" s="30" t="str">
        <x:v>Year=2002; ZIP=84056; Pay grade=O-2; Dependents=With dependents</x:v>
      </x:c>
      <x:c r="R13" s="76" t="str">
        <x:v>https://www.dfas.mil/Portals/98/MilPayTable2002.pdf</x:v>
      </x:c>
      <x:c r="S13" s="76" t="str">
        <x:v>https://www.travel.dod.mil/Allowances/Basic-Allowance-for-Housing/BAH-Rate-Lookup/</x:v>
      </x:c>
      <x:c r="T13" s="76" t="str">
        <x:v>https://www.dfas.mil/Portals/98/MilPayTable2002.pdf</x:v>
      </x:c>
    </x:row>
    <x:row r="14">
      <x:c r="A14" s="19" t="n">
        <x:v>2002</x:v>
      </x:c>
      <x:c r="B14" s="19" t="str">
        <x:v>Actual</x:v>
      </x:c>
      <x:c r="C14" s="19" t="str">
        <x:v>O-3</x:v>
      </x:c>
      <x:c r="D14" s="19" t="str">
        <x:v>O-3 over 6</x:v>
      </x:c>
      <x:c r="E14" s="69" t="n">
        <x:v>0</x:v>
      </x:c>
      <x:c r="F14" s="79" t="n">
        <x:v>3875.7</x:v>
      </x:c>
      <x:c r="G14" s="80" t="n">
        <x:f>F14*'Assumptions &amp; Sources'!$B$7</x:f>
        <x:v>46508.399999999994</x:v>
      </x:c>
      <x:c r="H14" s="79" t="n">
        <x:v>863</x:v>
      </x:c>
      <x:c r="I14" s="80" t="n">
        <x:f>H14*'Assumptions &amp; Sources'!$B$7</x:f>
        <x:v>10356</x:v>
      </x:c>
      <x:c r="J14" s="79" t="n">
        <x:v>166.37</x:v>
      </x:c>
      <x:c r="K14" s="80" t="n">
        <x:f>J14*'Assumptions &amp; Sources'!$B$7</x:f>
        <x:v>1996.44</x:v>
      </x:c>
      <x:c r="L14" s="80" t="n">
        <x:f>I14+K14</x:f>
        <x:v>12352.44</x:v>
      </x:c>
      <x:c r="M14" s="80" t="n">
        <x:f>G14+I14+K14</x:f>
        <x:v>58860.84</x:v>
      </x:c>
      <x:c r="N14" s="80" t="n">
        <x:f>L14*'Dashboard'!$K$4/(1-'Dashboard'!$K$4)</x:f>
        <x:v>3484.021538461539</x:v>
      </x:c>
      <x:c r="O14" s="80" t="n">
        <x:f>M14+N14</x:f>
        <x:v>62344.86153846153</x:v>
      </x:c>
      <x:c r="P14" s="30" t="str">
        <x:v>OGDEN/HILL AFB, UT (UT291)</x:v>
      </x:c>
      <x:c r="Q14" s="30" t="str">
        <x:v>Year=2002; ZIP=84056; Pay grade=O-3; Dependents=With dependents</x:v>
      </x:c>
      <x:c r="R14" s="76" t="str">
        <x:v>https://www.dfas.mil/Portals/98/MilPayTable2002.pdf</x:v>
      </x:c>
      <x:c r="S14" s="76" t="str">
        <x:v>https://www.travel.dod.mil/Allowances/Basic-Allowance-for-Housing/BAH-Rate-Lookup/</x:v>
      </x:c>
      <x:c r="T14" s="76" t="str">
        <x:v>https://www.dfas.mil/Portals/98/MilPayTable2002.pdf</x:v>
      </x:c>
    </x:row>
    <x:row r="15">
      <x:c r="A15" s="19" t="n">
        <x:v>2002</x:v>
      </x:c>
      <x:c r="B15" s="19" t="str">
        <x:v>Actual</x:v>
      </x:c>
      <x:c r="C15" s="19" t="str">
        <x:v>O-4</x:v>
      </x:c>
      <x:c r="D15" s="19" t="str">
        <x:v>O-4 over 10</x:v>
      </x:c>
      <x:c r="E15" s="69" t="n">
        <x:v>0</x:v>
      </x:c>
      <x:c r="F15" s="79" t="n">
        <x:v>4696.2</x:v>
      </x:c>
      <x:c r="G15" s="80" t="n">
        <x:f>F15*'Assumptions &amp; Sources'!$B$7</x:f>
        <x:v>56354.399999999994</x:v>
      </x:c>
      <x:c r="H15" s="79" t="n">
        <x:v>936</x:v>
      </x:c>
      <x:c r="I15" s="80" t="n">
        <x:f>H15*'Assumptions &amp; Sources'!$B$7</x:f>
        <x:v>11232</x:v>
      </x:c>
      <x:c r="J15" s="79" t="n">
        <x:v>166.37</x:v>
      </x:c>
      <x:c r="K15" s="80" t="n">
        <x:f>J15*'Assumptions &amp; Sources'!$B$7</x:f>
        <x:v>1996.44</x:v>
      </x:c>
      <x:c r="L15" s="80" t="n">
        <x:f>I15+K15</x:f>
        <x:v>13228.44</x:v>
      </x:c>
      <x:c r="M15" s="80" t="n">
        <x:f>G15+I15+K15</x:f>
        <x:v>69582.84</x:v>
      </x:c>
      <x:c r="N15" s="80" t="n">
        <x:f>L15*'Dashboard'!$K$4/(1-'Dashboard'!$K$4)</x:f>
        <x:v>3731.0984615384614</x:v>
      </x:c>
      <x:c r="O15" s="80" t="n">
        <x:f>M15+N15</x:f>
        <x:v>73313.93846153846</x:v>
      </x:c>
      <x:c r="P15" s="30" t="str">
        <x:v>OGDEN/HILL AFB, UT (UT291)</x:v>
      </x:c>
      <x:c r="Q15" s="30" t="str">
        <x:v>Year=2002; ZIP=84056; Pay grade=O-4; Dependents=With dependents</x:v>
      </x:c>
      <x:c r="R15" s="76" t="str">
        <x:v>https://www.dfas.mil/Portals/98/MilPayTable2002.pdf</x:v>
      </x:c>
      <x:c r="S15" s="76" t="str">
        <x:v>https://www.travel.dod.mil/Allowances/Basic-Allowance-for-Housing/BAH-Rate-Lookup/</x:v>
      </x:c>
      <x:c r="T15" s="76" t="str">
        <x:v>https://www.dfas.mil/Portals/98/MilPayTable2002.pdf</x:v>
      </x:c>
    </x:row>
    <x:row r="16">
      <x:c r="A16" s="19" t="n">
        <x:v>2002</x:v>
      </x:c>
      <x:c r="B16" s="19" t="str">
        <x:v>Actual</x:v>
      </x:c>
      <x:c r="C16" s="19" t="str">
        <x:v>O-5</x:v>
      </x:c>
      <x:c r="D16" s="19" t="str">
        <x:v>O-5 over 16</x:v>
      </x:c>
      <x:c r="E16" s="69" t="n">
        <x:v>0</x:v>
      </x:c>
      <x:c r="F16" s="79" t="n">
        <x:v>5919</x:v>
      </x:c>
      <x:c r="G16" s="80" t="n">
        <x:f>F16*'Assumptions &amp; Sources'!$B$7</x:f>
        <x:v>71028</x:v>
      </x:c>
      <x:c r="H16" s="79" t="n">
        <x:v>987</x:v>
      </x:c>
      <x:c r="I16" s="80" t="n">
        <x:f>H16*'Assumptions &amp; Sources'!$B$7</x:f>
        <x:v>11844</x:v>
      </x:c>
      <x:c r="J16" s="79" t="n">
        <x:v>166.37</x:v>
      </x:c>
      <x:c r="K16" s="80" t="n">
        <x:f>J16*'Assumptions &amp; Sources'!$B$7</x:f>
        <x:v>1996.44</x:v>
      </x:c>
      <x:c r="L16" s="80" t="n">
        <x:f>I16+K16</x:f>
        <x:v>13840.44</x:v>
      </x:c>
      <x:c r="M16" s="80" t="n">
        <x:f>G16+I16+K16</x:f>
        <x:v>84868.44</x:v>
      </x:c>
      <x:c r="N16" s="80" t="n">
        <x:f>L16*'Dashboard'!$K$4/(1-'Dashboard'!$K$4)</x:f>
        <x:v>3903.713846153846</x:v>
      </x:c>
      <x:c r="O16" s="80" t="n">
        <x:f>M16+N16</x:f>
        <x:v>88772.15384615384</x:v>
      </x:c>
      <x:c r="P16" s="30" t="str">
        <x:v>OGDEN/HILL AFB, UT (UT291)</x:v>
      </x:c>
      <x:c r="Q16" s="30" t="str">
        <x:v>Year=2002; ZIP=84056; Pay grade=O-5; Dependents=With dependents</x:v>
      </x:c>
      <x:c r="R16" s="76" t="str">
        <x:v>https://www.dfas.mil/Portals/98/MilPayTable2002.pdf</x:v>
      </x:c>
      <x:c r="S16" s="76" t="str">
        <x:v>https://www.travel.dod.mil/Allowances/Basic-Allowance-for-Housing/BAH-Rate-Lookup/</x:v>
      </x:c>
      <x:c r="T16" s="76" t="str">
        <x:v>https://www.dfas.mil/Portals/98/MilPayTable2002.pdf</x:v>
      </x:c>
    </x:row>
    <x:row r="17">
      <x:c r="A17" s="19" t="n">
        <x:v>2002</x:v>
      </x:c>
      <x:c r="B17" s="19" t="str">
        <x:v>Actual</x:v>
      </x:c>
      <x:c r="C17" s="19" t="str">
        <x:v>O-6</x:v>
      </x:c>
      <x:c r="D17" s="19" t="str">
        <x:v>O-6 over 22</x:v>
      </x:c>
      <x:c r="E17" s="69" t="n">
        <x:v>0</x:v>
      </x:c>
      <x:c r="F17" s="79" t="n">
        <x:v>7131</x:v>
      </x:c>
      <x:c r="G17" s="80" t="n">
        <x:f>F17*'Assumptions &amp; Sources'!$B$7</x:f>
        <x:v>85572</x:v>
      </x:c>
      <x:c r="H17" s="79" t="n">
        <x:v>997</x:v>
      </x:c>
      <x:c r="I17" s="80" t="n">
        <x:f>H17*'Assumptions &amp; Sources'!$B$7</x:f>
        <x:v>11964</x:v>
      </x:c>
      <x:c r="J17" s="79" t="n">
        <x:v>166.37</x:v>
      </x:c>
      <x:c r="K17" s="80" t="n">
        <x:f>J17*'Assumptions &amp; Sources'!$B$7</x:f>
        <x:v>1996.44</x:v>
      </x:c>
      <x:c r="L17" s="80" t="n">
        <x:f>I17+K17</x:f>
        <x:v>13960.44</x:v>
      </x:c>
      <x:c r="M17" s="80" t="n">
        <x:f>G17+I17+K17</x:f>
        <x:v>99532.44</x:v>
      </x:c>
      <x:c r="N17" s="80" t="n">
        <x:f>L17*'Dashboard'!$K$4/(1-'Dashboard'!$K$4)</x:f>
        <x:v>3937.56</x:v>
      </x:c>
      <x:c r="O17" s="80" t="n">
        <x:f>M17+N17</x:f>
        <x:v>103470</x:v>
      </x:c>
      <x:c r="P17" s="30" t="str">
        <x:v>OGDEN/HILL AFB, UT (UT291)</x:v>
      </x:c>
      <x:c r="Q17" s="30" t="str">
        <x:v>Year=2002; ZIP=84056; Pay grade=O-6; Dependents=With dependents</x:v>
      </x:c>
      <x:c r="R17" s="76" t="str">
        <x:v>https://www.dfas.mil/Portals/98/MilPayTable2002.pdf</x:v>
      </x:c>
      <x:c r="S17" s="76" t="str">
        <x:v>https://www.travel.dod.mil/Allowances/Basic-Allowance-for-Housing/BAH-Rate-Lookup/</x:v>
      </x:c>
      <x:c r="T17" s="76" t="str">
        <x:v>https://www.dfas.mil/Portals/98/MilPayTable2002.pdf</x:v>
      </x:c>
    </x:row>
    <x:row r="18">
      <x:c r="A18" s="19" t="n">
        <x:v>2003</x:v>
      </x:c>
      <x:c r="B18" s="19" t="str">
        <x:v>Actual</x:v>
      </x:c>
      <x:c r="C18" s="19" t="str">
        <x:v>O-1</x:v>
      </x:c>
      <x:c r="D18" s="19" t="str">
        <x:v>O-1 under 2</x:v>
      </x:c>
      <x:c r="E18" s="69" t="n">
        <x:v>0</x:v>
      </x:c>
      <x:c r="F18" s="79" t="n">
        <x:v>2183.7</x:v>
      </x:c>
      <x:c r="G18" s="80" t="n">
        <x:f>F18*'Assumptions &amp; Sources'!$B$7</x:f>
        <x:v>26204.399999999998</x:v>
      </x:c>
      <x:c r="H18" s="79" t="n">
        <x:v>677</x:v>
      </x:c>
      <x:c r="I18" s="80" t="n">
        <x:f>H18*'Assumptions &amp; Sources'!$B$7</x:f>
        <x:v>8124</x:v>
      </x:c>
      <x:c r="J18" s="79" t="n">
        <x:v>167.2</x:v>
      </x:c>
      <x:c r="K18" s="80" t="n">
        <x:f>J18*'Assumptions &amp; Sources'!$B$7</x:f>
        <x:v>2006.3999999999999</x:v>
      </x:c>
      <x:c r="L18" s="80" t="n">
        <x:f>I18+K18</x:f>
        <x:v>10130.4</x:v>
      </x:c>
      <x:c r="M18" s="80" t="n">
        <x:f>G18+I18+K18</x:f>
        <x:v>36334.799999999996</x:v>
      </x:c>
      <x:c r="N18" s="80" t="n">
        <x:f>L18*'Dashboard'!$K$4/(1-'Dashboard'!$K$4)</x:f>
        <x:v>2857.2923076923075</x:v>
      </x:c>
      <x:c r="O18" s="80" t="n">
        <x:f>M18+N18</x:f>
        <x:v>39192.092307692306</x:v>
      </x:c>
      <x:c r="P18" s="30" t="str">
        <x:v>OGDEN/HILL AFB, UT (UT291)</x:v>
      </x:c>
      <x:c r="Q18" s="30" t="str">
        <x:v>Year=2003; ZIP=84056; Pay grade=O-1; Dependents=With dependents</x:v>
      </x:c>
      <x:c r="R18" s="76" t="str">
        <x:v>https://www.dfas.mil/Portals/98/MilPayTable2003.pdf</x:v>
      </x:c>
      <x:c r="S18" s="76" t="str">
        <x:v>https://www.travel.dod.mil/Allowances/Basic-Allowance-for-Housing/BAH-Rate-Lookup/</x:v>
      </x:c>
      <x:c r="T18" s="76" t="str">
        <x:v>https://www.dfas.mil/Portals/98/MilPayTable2003.pdf</x:v>
      </x:c>
    </x:row>
    <x:row r="19">
      <x:c r="A19" s="19" t="n">
        <x:v>2003</x:v>
      </x:c>
      <x:c r="B19" s="19" t="str">
        <x:v>Actual</x:v>
      </x:c>
      <x:c r="C19" s="19" t="str">
        <x:v>O-2</x:v>
      </x:c>
      <x:c r="D19" s="19" t="str">
        <x:v>O-2 over 2</x:v>
      </x:c>
      <x:c r="E19" s="69" t="n">
        <x:v>0</x:v>
      </x:c>
      <x:c r="F19" s="79" t="n">
        <x:v>2864.7</x:v>
      </x:c>
      <x:c r="G19" s="80" t="n">
        <x:f>F19*'Assumptions &amp; Sources'!$B$7</x:f>
        <x:v>34376.399999999994</x:v>
      </x:c>
      <x:c r="H19" s="79" t="n">
        <x:v>804</x:v>
      </x:c>
      <x:c r="I19" s="80" t="n">
        <x:f>H19*'Assumptions &amp; Sources'!$B$7</x:f>
        <x:v>9648</x:v>
      </x:c>
      <x:c r="J19" s="79" t="n">
        <x:v>167.2</x:v>
      </x:c>
      <x:c r="K19" s="80" t="n">
        <x:f>J19*'Assumptions &amp; Sources'!$B$7</x:f>
        <x:v>2006.3999999999999</x:v>
      </x:c>
      <x:c r="L19" s="80" t="n">
        <x:f>I19+K19</x:f>
        <x:v>11654.4</x:v>
      </x:c>
      <x:c r="M19" s="80" t="n">
        <x:f>G19+I19+K19</x:f>
        <x:v>46030.799999999996</x:v>
      </x:c>
      <x:c r="N19" s="80" t="n">
        <x:f>L19*'Dashboard'!$K$4/(1-'Dashboard'!$K$4)</x:f>
        <x:v>3287.1384615384613</x:v>
      </x:c>
      <x:c r="O19" s="80" t="n">
        <x:f>M19+N19</x:f>
        <x:v>49317.938461538455</x:v>
      </x:c>
      <x:c r="P19" s="30" t="str">
        <x:v>OGDEN/HILL AFB, UT (UT291)</x:v>
      </x:c>
      <x:c r="Q19" s="30" t="str">
        <x:v>Year=2003; ZIP=84056; Pay grade=O-2; Dependents=With dependents</x:v>
      </x:c>
      <x:c r="R19" s="76" t="str">
        <x:v>https://www.dfas.mil/Portals/98/MilPayTable2003.pdf</x:v>
      </x:c>
      <x:c r="S19" s="76" t="str">
        <x:v>https://www.travel.dod.mil/Allowances/Basic-Allowance-for-Housing/BAH-Rate-Lookup/</x:v>
      </x:c>
      <x:c r="T19" s="76" t="str">
        <x:v>https://www.dfas.mil/Portals/98/MilPayTable2003.pdf</x:v>
      </x:c>
    </x:row>
    <x:row r="20">
      <x:c r="A20" s="19" t="n">
        <x:v>2003</x:v>
      </x:c>
      <x:c r="B20" s="19" t="str">
        <x:v>Actual</x:v>
      </x:c>
      <x:c r="C20" s="19" t="str">
        <x:v>O-3</x:v>
      </x:c>
      <x:c r="D20" s="19" t="str">
        <x:v>O-3 over 6</x:v>
      </x:c>
      <x:c r="E20" s="69" t="n">
        <x:v>0</x:v>
      </x:c>
      <x:c r="F20" s="79" t="n">
        <x:v>4069.5</x:v>
      </x:c>
      <x:c r="G20" s="80" t="n">
        <x:f>F20*'Assumptions &amp; Sources'!$B$7</x:f>
        <x:v>48834</x:v>
      </x:c>
      <x:c r="H20" s="79" t="n">
        <x:v>872</x:v>
      </x:c>
      <x:c r="I20" s="80" t="n">
        <x:f>H20*'Assumptions &amp; Sources'!$B$7</x:f>
        <x:v>10464</x:v>
      </x:c>
      <x:c r="J20" s="79" t="n">
        <x:v>167.2</x:v>
      </x:c>
      <x:c r="K20" s="80" t="n">
        <x:f>J20*'Assumptions &amp; Sources'!$B$7</x:f>
        <x:v>2006.3999999999999</x:v>
      </x:c>
      <x:c r="L20" s="80" t="n">
        <x:f>I20+K20</x:f>
        <x:v>12470.4</x:v>
      </x:c>
      <x:c r="M20" s="80" t="n">
        <x:f>G20+I20+K20</x:f>
        <x:v>61304.4</x:v>
      </x:c>
      <x:c r="N20" s="80" t="n">
        <x:f>L20*'Dashboard'!$K$4/(1-'Dashboard'!$K$4)</x:f>
        <x:v>3517.2923076923075</x:v>
      </x:c>
      <x:c r="O20" s="80" t="n">
        <x:f>M20+N20</x:f>
        <x:v>64821.69230769231</x:v>
      </x:c>
      <x:c r="P20" s="30" t="str">
        <x:v>OGDEN/HILL AFB, UT (UT291)</x:v>
      </x:c>
      <x:c r="Q20" s="30" t="str">
        <x:v>Year=2003; ZIP=84056; Pay grade=O-3; Dependents=With dependents</x:v>
      </x:c>
      <x:c r="R20" s="76" t="str">
        <x:v>https://www.dfas.mil/Portals/98/MilPayTable2003.pdf</x:v>
      </x:c>
      <x:c r="S20" s="76" t="str">
        <x:v>https://www.travel.dod.mil/Allowances/Basic-Allowance-for-Housing/BAH-Rate-Lookup/</x:v>
      </x:c>
      <x:c r="T20" s="76" t="str">
        <x:v>https://www.dfas.mil/Portals/98/MilPayTable2003.pdf</x:v>
      </x:c>
    </x:row>
    <x:row r="21">
      <x:c r="A21" s="19" t="n">
        <x:v>2003</x:v>
      </x:c>
      <x:c r="B21" s="19" t="str">
        <x:v>Actual</x:v>
      </x:c>
      <x:c r="C21" s="19" t="str">
        <x:v>O-4</x:v>
      </x:c>
      <x:c r="D21" s="19" t="str">
        <x:v>O-4 over 10</x:v>
      </x:c>
      <x:c r="E21" s="69" t="n">
        <x:v>0</x:v>
      </x:c>
      <x:c r="F21" s="79" t="n">
        <x:v>4954.5</x:v>
      </x:c>
      <x:c r="G21" s="80" t="n">
        <x:f>F21*'Assumptions &amp; Sources'!$B$7</x:f>
        <x:v>59454</x:v>
      </x:c>
      <x:c r="H21" s="79" t="n">
        <x:v>961</x:v>
      </x:c>
      <x:c r="I21" s="80" t="n">
        <x:f>H21*'Assumptions &amp; Sources'!$B$7</x:f>
        <x:v>11532</x:v>
      </x:c>
      <x:c r="J21" s="79" t="n">
        <x:v>167.2</x:v>
      </x:c>
      <x:c r="K21" s="80" t="n">
        <x:f>J21*'Assumptions &amp; Sources'!$B$7</x:f>
        <x:v>2006.3999999999999</x:v>
      </x:c>
      <x:c r="L21" s="80" t="n">
        <x:f>I21+K21</x:f>
        <x:v>13538.4</x:v>
      </x:c>
      <x:c r="M21" s="80" t="n">
        <x:f>G21+I21+K21</x:f>
        <x:v>72992.4</x:v>
      </x:c>
      <x:c r="N21" s="80" t="n">
        <x:f>L21*'Dashboard'!$K$4/(1-'Dashboard'!$K$4)</x:f>
        <x:v>3818.5230769230766</x:v>
      </x:c>
      <x:c r="O21" s="80" t="n">
        <x:f>M21+N21</x:f>
        <x:v>76810.92307692306</x:v>
      </x:c>
      <x:c r="P21" s="30" t="str">
        <x:v>OGDEN/HILL AFB, UT (UT291)</x:v>
      </x:c>
      <x:c r="Q21" s="30" t="str">
        <x:v>Year=2003; ZIP=84056; Pay grade=O-4; Dependents=With dependents</x:v>
      </x:c>
      <x:c r="R21" s="76" t="str">
        <x:v>https://www.dfas.mil/Portals/98/MilPayTable2003.pdf</x:v>
      </x:c>
      <x:c r="S21" s="76" t="str">
        <x:v>https://www.travel.dod.mil/Allowances/Basic-Allowance-for-Housing/BAH-Rate-Lookup/</x:v>
      </x:c>
      <x:c r="T21" s="76" t="str">
        <x:v>https://www.dfas.mil/Portals/98/MilPayTable2003.pdf</x:v>
      </x:c>
    </x:row>
    <x:row r="22">
      <x:c r="A22" s="19" t="n">
        <x:v>2003</x:v>
      </x:c>
      <x:c r="B22" s="19" t="str">
        <x:v>Actual</x:v>
      </x:c>
      <x:c r="C22" s="19" t="str">
        <x:v>O-5</x:v>
      </x:c>
      <x:c r="D22" s="19" t="str">
        <x:v>O-5 over 16</x:v>
      </x:c>
      <x:c r="E22" s="69" t="n">
        <x:v>0</x:v>
      </x:c>
      <x:c r="F22" s="79" t="n">
        <x:v>5991.9</x:v>
      </x:c>
      <x:c r="G22" s="80" t="n">
        <x:f>F22*'Assumptions &amp; Sources'!$B$7</x:f>
        <x:v>71902.79999999999</x:v>
      </x:c>
      <x:c r="H22" s="79" t="n">
        <x:v>1024</x:v>
      </x:c>
      <x:c r="I22" s="80" t="n">
        <x:f>H22*'Assumptions &amp; Sources'!$B$7</x:f>
        <x:v>12288</x:v>
      </x:c>
      <x:c r="J22" s="79" t="n">
        <x:v>167.2</x:v>
      </x:c>
      <x:c r="K22" s="80" t="n">
        <x:f>J22*'Assumptions &amp; Sources'!$B$7</x:f>
        <x:v>2006.3999999999999</x:v>
      </x:c>
      <x:c r="L22" s="80" t="n">
        <x:f>I22+K22</x:f>
        <x:v>14294.4</x:v>
      </x:c>
      <x:c r="M22" s="80" t="n">
        <x:f>G22+I22+K22</x:f>
        <x:v>86197.19999999998</x:v>
      </x:c>
      <x:c r="N22" s="80" t="n">
        <x:f>L22*'Dashboard'!$K$4/(1-'Dashboard'!$K$4)</x:f>
        <x:v>4031.753846153846</x:v>
      </x:c>
      <x:c r="O22" s="80" t="n">
        <x:f>M22+N22</x:f>
        <x:v>90228.95384615383</x:v>
      </x:c>
      <x:c r="P22" s="30" t="str">
        <x:v>OGDEN/HILL AFB, UT (UT291)</x:v>
      </x:c>
      <x:c r="Q22" s="30" t="str">
        <x:v>Year=2003; ZIP=84056; Pay grade=O-5; Dependents=With dependents</x:v>
      </x:c>
      <x:c r="R22" s="76" t="str">
        <x:v>https://www.dfas.mil/Portals/98/MilPayTable2003.pdf</x:v>
      </x:c>
      <x:c r="S22" s="76" t="str">
        <x:v>https://www.travel.dod.mil/Allowances/Basic-Allowance-for-Housing/BAH-Rate-Lookup/</x:v>
      </x:c>
      <x:c r="T22" s="76" t="str">
        <x:v>https://www.dfas.mil/Portals/98/MilPayTable2003.pdf</x:v>
      </x:c>
    </x:row>
    <x:row r="23">
      <x:c r="A23" s="19" t="n">
        <x:v>2003</x:v>
      </x:c>
      <x:c r="B23" s="19" t="str">
        <x:v>Actual</x:v>
      </x:c>
      <x:c r="C23" s="19" t="str">
        <x:v>O-6</x:v>
      </x:c>
      <x:c r="D23" s="19" t="str">
        <x:v>O-6 over 22</x:v>
      </x:c>
      <x:c r="E23" s="69" t="n">
        <x:v>0</x:v>
      </x:c>
      <x:c r="F23" s="79" t="n">
        <x:v>7423.5</x:v>
      </x:c>
      <x:c r="G23" s="80" t="n">
        <x:f>F23*'Assumptions &amp; Sources'!$B$7</x:f>
        <x:v>89082</x:v>
      </x:c>
      <x:c r="H23" s="79" t="n">
        <x:v>1032</x:v>
      </x:c>
      <x:c r="I23" s="80" t="n">
        <x:f>H23*'Assumptions &amp; Sources'!$B$7</x:f>
        <x:v>12384</x:v>
      </x:c>
      <x:c r="J23" s="79" t="n">
        <x:v>167.2</x:v>
      </x:c>
      <x:c r="K23" s="80" t="n">
        <x:f>J23*'Assumptions &amp; Sources'!$B$7</x:f>
        <x:v>2006.3999999999999</x:v>
      </x:c>
      <x:c r="L23" s="80" t="n">
        <x:f>I23+K23</x:f>
        <x:v>14390.4</x:v>
      </x:c>
      <x:c r="M23" s="80" t="n">
        <x:f>G23+I23+K23</x:f>
        <x:v>103472.4</x:v>
      </x:c>
      <x:c r="N23" s="80" t="n">
        <x:f>L23*'Dashboard'!$K$4/(1-'Dashboard'!$K$4)</x:f>
        <x:v>4058.830769230769</x:v>
      </x:c>
      <x:c r="O23" s="80" t="n">
        <x:f>M23+N23</x:f>
        <x:v>107531.23076923077</x:v>
      </x:c>
      <x:c r="P23" s="30" t="str">
        <x:v>OGDEN/HILL AFB, UT (UT291)</x:v>
      </x:c>
      <x:c r="Q23" s="30" t="str">
        <x:v>Year=2003; ZIP=84056; Pay grade=O-6; Dependents=With dependents</x:v>
      </x:c>
      <x:c r="R23" s="76" t="str">
        <x:v>https://www.dfas.mil/Portals/98/MilPayTable2003.pdf</x:v>
      </x:c>
      <x:c r="S23" s="76" t="str">
        <x:v>https://www.travel.dod.mil/Allowances/Basic-Allowance-for-Housing/BAH-Rate-Lookup/</x:v>
      </x:c>
      <x:c r="T23" s="76" t="str">
        <x:v>https://www.dfas.mil/Portals/98/MilPayTable2003.pdf</x:v>
      </x:c>
    </x:row>
    <x:row r="24">
      <x:c r="A24" s="19" t="n">
        <x:v>2004</x:v>
      </x:c>
      <x:c r="B24" s="19" t="str">
        <x:v>Actual</x:v>
      </x:c>
      <x:c r="C24" s="19" t="str">
        <x:v>O-1</x:v>
      </x:c>
      <x:c r="D24" s="19" t="str">
        <x:v>O-1 under 2</x:v>
      </x:c>
      <x:c r="E24" s="69" t="n">
        <x:v>0</x:v>
      </x:c>
      <x:c r="F24" s="79" t="n">
        <x:v>2264.4</x:v>
      </x:c>
      <x:c r="G24" s="80" t="n">
        <x:f>F24*'Assumptions &amp; Sources'!$B$7</x:f>
        <x:v>27172.800000000003</x:v>
      </x:c>
      <x:c r="H24" s="79" t="n">
        <x:v>736</x:v>
      </x:c>
      <x:c r="I24" s="80" t="n">
        <x:f>H24*'Assumptions &amp; Sources'!$B$7</x:f>
        <x:v>8832</x:v>
      </x:c>
      <x:c r="J24" s="79" t="n">
        <x:v>175.23</x:v>
      </x:c>
      <x:c r="K24" s="80" t="n">
        <x:f>J24*'Assumptions &amp; Sources'!$B$7</x:f>
        <x:v>2102.7599999999998</x:v>
      </x:c>
      <x:c r="L24" s="80" t="n">
        <x:f>I24+K24</x:f>
        <x:v>10934.76</x:v>
      </x:c>
      <x:c r="M24" s="80" t="n">
        <x:f>G24+I24+K24</x:f>
        <x:v>38107.560000000005</x:v>
      </x:c>
      <x:c r="N24" s="80" t="n">
        <x:f>L24*'Dashboard'!$K$4/(1-'Dashboard'!$K$4)</x:f>
        <x:v>3084.1630769230765</x:v>
      </x:c>
      <x:c r="O24" s="80" t="n">
        <x:f>M24+N24</x:f>
        <x:v>41191.72307692308</x:v>
      </x:c>
      <x:c r="P24" s="30" t="str">
        <x:v>OGDEN/HILL AFB, UT (UT291)</x:v>
      </x:c>
      <x:c r="Q24" s="30" t="str">
        <x:v>Year=2004; ZIP=84056; Pay grade=O-1; Dependents=With dependents</x:v>
      </x:c>
      <x:c r="R24" s="76" t="str">
        <x:v>https://www.dfas.mil/Portals/98/MilPayTable2004.pdf</x:v>
      </x:c>
      <x:c r="S24" s="76" t="str">
        <x:v>https://www.travel.dod.mil/Allowances/Basic-Allowance-for-Housing/BAH-Rate-Lookup/</x:v>
      </x:c>
      <x:c r="T24" s="76" t="str">
        <x:v>https://www.dfas.mil/Portals/98/MilPayTable2004.pdf</x:v>
      </x:c>
    </x:row>
    <x:row r="25">
      <x:c r="A25" s="19" t="n">
        <x:v>2004</x:v>
      </x:c>
      <x:c r="B25" s="19" t="str">
        <x:v>Actual</x:v>
      </x:c>
      <x:c r="C25" s="19" t="str">
        <x:v>O-2</x:v>
      </x:c>
      <x:c r="D25" s="19" t="str">
        <x:v>O-2 over 2</x:v>
      </x:c>
      <x:c r="E25" s="69" t="n">
        <x:v>0</x:v>
      </x:c>
      <x:c r="F25" s="79" t="n">
        <x:v>2970.6</x:v>
      </x:c>
      <x:c r="G25" s="80" t="n">
        <x:f>F25*'Assumptions &amp; Sources'!$B$7</x:f>
        <x:v>35647.2</x:v>
      </x:c>
      <x:c r="H25" s="79" t="n">
        <x:v>827</x:v>
      </x:c>
      <x:c r="I25" s="80" t="n">
        <x:f>H25*'Assumptions &amp; Sources'!$B$7</x:f>
        <x:v>9924</x:v>
      </x:c>
      <x:c r="J25" s="79" t="n">
        <x:v>175.23</x:v>
      </x:c>
      <x:c r="K25" s="80" t="n">
        <x:f>J25*'Assumptions &amp; Sources'!$B$7</x:f>
        <x:v>2102.7599999999998</x:v>
      </x:c>
      <x:c r="L25" s="80" t="n">
        <x:f>I25+K25</x:f>
        <x:v>12026.76</x:v>
      </x:c>
      <x:c r="M25" s="80" t="n">
        <x:f>G25+I25+K25</x:f>
        <x:v>47673.96</x:v>
      </x:c>
      <x:c r="N25" s="80" t="n">
        <x:f>L25*'Dashboard'!$K$4/(1-'Dashboard'!$K$4)</x:f>
        <x:v>3392.163076923077</x:v>
      </x:c>
      <x:c r="O25" s="80" t="n">
        <x:f>M25+N25</x:f>
        <x:v>51066.123076923075</x:v>
      </x:c>
      <x:c r="P25" s="30" t="str">
        <x:v>OGDEN/HILL AFB, UT (UT291)</x:v>
      </x:c>
      <x:c r="Q25" s="30" t="str">
        <x:v>Year=2004; ZIP=84056; Pay grade=O-2; Dependents=With dependents</x:v>
      </x:c>
      <x:c r="R25" s="76" t="str">
        <x:v>https://www.dfas.mil/Portals/98/MilPayTable2004.pdf</x:v>
      </x:c>
      <x:c r="S25" s="76" t="str">
        <x:v>https://www.travel.dod.mil/Allowances/Basic-Allowance-for-Housing/BAH-Rate-Lookup/</x:v>
      </x:c>
      <x:c r="T25" s="76" t="str">
        <x:v>https://www.dfas.mil/Portals/98/MilPayTable2004.pdf</x:v>
      </x:c>
    </x:row>
    <x:row r="26">
      <x:c r="A26" s="19" t="n">
        <x:v>2004</x:v>
      </x:c>
      <x:c r="B26" s="19" t="str">
        <x:v>Actual</x:v>
      </x:c>
      <x:c r="C26" s="19" t="str">
        <x:v>O-3</x:v>
      </x:c>
      <x:c r="D26" s="19" t="str">
        <x:v>O-3 over 6</x:v>
      </x:c>
      <x:c r="E26" s="69" t="n">
        <x:v>0</x:v>
      </x:c>
      <x:c r="F26" s="79" t="n">
        <x:v>4220.1</x:v>
      </x:c>
      <x:c r="G26" s="80" t="n">
        <x:f>F26*'Assumptions &amp; Sources'!$B$7</x:f>
        <x:v>50641.200000000004</x:v>
      </x:c>
      <x:c r="H26" s="79" t="n">
        <x:v>911</x:v>
      </x:c>
      <x:c r="I26" s="80" t="n">
        <x:f>H26*'Assumptions &amp; Sources'!$B$7</x:f>
        <x:v>10932</x:v>
      </x:c>
      <x:c r="J26" s="79" t="n">
        <x:v>175.23</x:v>
      </x:c>
      <x:c r="K26" s="80" t="n">
        <x:f>J26*'Assumptions &amp; Sources'!$B$7</x:f>
        <x:v>2102.7599999999998</x:v>
      </x:c>
      <x:c r="L26" s="80" t="n">
        <x:f>I26+K26</x:f>
        <x:v>13034.76</x:v>
      </x:c>
      <x:c r="M26" s="80" t="n">
        <x:f>G26+I26+K26</x:f>
        <x:v>63675.96000000001</x:v>
      </x:c>
      <x:c r="N26" s="80" t="n">
        <x:f>L26*'Dashboard'!$K$4/(1-'Dashboard'!$K$4)</x:f>
        <x:v>3676.470769230769</x:v>
      </x:c>
      <x:c r="O26" s="80" t="n">
        <x:f>M26+N26</x:f>
        <x:v>67352.43076923078</x:v>
      </x:c>
      <x:c r="P26" s="30" t="str">
        <x:v>OGDEN/HILL AFB, UT (UT291)</x:v>
      </x:c>
      <x:c r="Q26" s="30" t="str">
        <x:v>Year=2004; ZIP=84056; Pay grade=O-3; Dependents=With dependents</x:v>
      </x:c>
      <x:c r="R26" s="76" t="str">
        <x:v>https://www.dfas.mil/Portals/98/MilPayTable2004.pdf</x:v>
      </x:c>
      <x:c r="S26" s="76" t="str">
        <x:v>https://www.travel.dod.mil/Allowances/Basic-Allowance-for-Housing/BAH-Rate-Lookup/</x:v>
      </x:c>
      <x:c r="T26" s="76" t="str">
        <x:v>https://www.dfas.mil/Portals/98/MilPayTable2004.pdf</x:v>
      </x:c>
    </x:row>
    <x:row r="27">
      <x:c r="A27" s="19" t="n">
        <x:v>2004</x:v>
      </x:c>
      <x:c r="B27" s="19" t="str">
        <x:v>Actual</x:v>
      </x:c>
      <x:c r="C27" s="19" t="str">
        <x:v>O-4</x:v>
      </x:c>
      <x:c r="D27" s="19" t="str">
        <x:v>O-4 over 10</x:v>
      </x:c>
      <x:c r="E27" s="69" t="n">
        <x:v>0</x:v>
      </x:c>
      <x:c r="F27" s="79" t="n">
        <x:v>5137.8</x:v>
      </x:c>
      <x:c r="G27" s="80" t="n">
        <x:f>F27*'Assumptions &amp; Sources'!$B$7</x:f>
        <x:v>61653.600000000006</x:v>
      </x:c>
      <x:c r="H27" s="79" t="n">
        <x:v>1019</x:v>
      </x:c>
      <x:c r="I27" s="80" t="n">
        <x:f>H27*'Assumptions &amp; Sources'!$B$7</x:f>
        <x:v>12228</x:v>
      </x:c>
      <x:c r="J27" s="79" t="n">
        <x:v>175.23</x:v>
      </x:c>
      <x:c r="K27" s="80" t="n">
        <x:f>J27*'Assumptions &amp; Sources'!$B$7</x:f>
        <x:v>2102.7599999999998</x:v>
      </x:c>
      <x:c r="L27" s="80" t="n">
        <x:f>I27+K27</x:f>
        <x:v>14330.76</x:v>
      </x:c>
      <x:c r="M27" s="80" t="n">
        <x:f>G27+I27+K27</x:f>
        <x:v>75984.36</x:v>
      </x:c>
      <x:c r="N27" s="80" t="n">
        <x:f>L27*'Dashboard'!$K$4/(1-'Dashboard'!$K$4)</x:f>
        <x:v>4042.0092307692307</x:v>
      </x:c>
      <x:c r="O27" s="80" t="n">
        <x:f>M27+N27</x:f>
        <x:v>80026.36923076923</x:v>
      </x:c>
      <x:c r="P27" s="30" t="str">
        <x:v>OGDEN/HILL AFB, UT (UT291)</x:v>
      </x:c>
      <x:c r="Q27" s="30" t="str">
        <x:v>Year=2004; ZIP=84056; Pay grade=O-4; Dependents=With dependents</x:v>
      </x:c>
      <x:c r="R27" s="76" t="str">
        <x:v>https://www.dfas.mil/Portals/98/MilPayTable2004.pdf</x:v>
      </x:c>
      <x:c r="S27" s="76" t="str">
        <x:v>https://www.travel.dod.mil/Allowances/Basic-Allowance-for-Housing/BAH-Rate-Lookup/</x:v>
      </x:c>
      <x:c r="T27" s="76" t="str">
        <x:v>https://www.dfas.mil/Portals/98/MilPayTable2004.pdf</x:v>
      </x:c>
    </x:row>
    <x:row r="28">
      <x:c r="A28" s="19" t="n">
        <x:v>2004</x:v>
      </x:c>
      <x:c r="B28" s="19" t="str">
        <x:v>Actual</x:v>
      </x:c>
      <x:c r="C28" s="19" t="str">
        <x:v>O-5</x:v>
      </x:c>
      <x:c r="D28" s="19" t="str">
        <x:v>O-5 over 16</x:v>
      </x:c>
      <x:c r="E28" s="69" t="n">
        <x:v>0</x:v>
      </x:c>
      <x:c r="F28" s="79" t="n">
        <x:v>6213.6</x:v>
      </x:c>
      <x:c r="G28" s="80" t="n">
        <x:f>F28*'Assumptions &amp; Sources'!$B$7</x:f>
        <x:v>74563.20000000001</x:v>
      </x:c>
      <x:c r="H28" s="79" t="n">
        <x:v>1094</x:v>
      </x:c>
      <x:c r="I28" s="80" t="n">
        <x:f>H28*'Assumptions &amp; Sources'!$B$7</x:f>
        <x:v>13128</x:v>
      </x:c>
      <x:c r="J28" s="79" t="n">
        <x:v>175.23</x:v>
      </x:c>
      <x:c r="K28" s="80" t="n">
        <x:f>J28*'Assumptions &amp; Sources'!$B$7</x:f>
        <x:v>2102.7599999999998</x:v>
      </x:c>
      <x:c r="L28" s="80" t="n">
        <x:f>I28+K28</x:f>
        <x:v>15230.76</x:v>
      </x:c>
      <x:c r="M28" s="80" t="n">
        <x:f>G28+I28+K28</x:f>
        <x:v>89793.96</x:v>
      </x:c>
      <x:c r="N28" s="80" t="n">
        <x:f>L28*'Dashboard'!$K$4/(1-'Dashboard'!$K$4)</x:f>
        <x:v>4295.8553846153845</x:v>
      </x:c>
      <x:c r="O28" s="80" t="n">
        <x:f>M28+N28</x:f>
        <x:v>94089.81538461539</x:v>
      </x:c>
      <x:c r="P28" s="30" t="str">
        <x:v>OGDEN/HILL AFB, UT (UT291)</x:v>
      </x:c>
      <x:c r="Q28" s="30" t="str">
        <x:v>Year=2004; ZIP=84056; Pay grade=O-5; Dependents=With dependents</x:v>
      </x:c>
      <x:c r="R28" s="76" t="str">
        <x:v>https://www.dfas.mil/Portals/98/MilPayTable2004.pdf</x:v>
      </x:c>
      <x:c r="S28" s="76" t="str">
        <x:v>https://www.travel.dod.mil/Allowances/Basic-Allowance-for-Housing/BAH-Rate-Lookup/</x:v>
      </x:c>
      <x:c r="T28" s="76" t="str">
        <x:v>https://www.dfas.mil/Portals/98/MilPayTable2004.pdf</x:v>
      </x:c>
    </x:row>
    <x:row r="29">
      <x:c r="A29" s="19" t="n">
        <x:v>2004</x:v>
      </x:c>
      <x:c r="B29" s="19" t="str">
        <x:v>Actual</x:v>
      </x:c>
      <x:c r="C29" s="19" t="str">
        <x:v>O-6</x:v>
      </x:c>
      <x:c r="D29" s="19" t="str">
        <x:v>O-6 over 22</x:v>
      </x:c>
      <x:c r="E29" s="69" t="n">
        <x:v>0</x:v>
      </x:c>
      <x:c r="F29" s="79" t="n">
        <x:v>7698.3</x:v>
      </x:c>
      <x:c r="G29" s="80" t="n">
        <x:f>F29*'Assumptions &amp; Sources'!$B$7</x:f>
        <x:v>92379.6</x:v>
      </x:c>
      <x:c r="H29" s="79" t="n">
        <x:v>1103</x:v>
      </x:c>
      <x:c r="I29" s="80" t="n">
        <x:f>H29*'Assumptions &amp; Sources'!$B$7</x:f>
        <x:v>13236</x:v>
      </x:c>
      <x:c r="J29" s="79" t="n">
        <x:v>175.23</x:v>
      </x:c>
      <x:c r="K29" s="80" t="n">
        <x:f>J29*'Assumptions &amp; Sources'!$B$7</x:f>
        <x:v>2102.7599999999998</x:v>
      </x:c>
      <x:c r="L29" s="80" t="n">
        <x:f>I29+K29</x:f>
        <x:v>15338.76</x:v>
      </x:c>
      <x:c r="M29" s="80" t="n">
        <x:f>G29+I29+K29</x:f>
        <x:v>107718.36</x:v>
      </x:c>
      <x:c r="N29" s="80" t="n">
        <x:f>L29*'Dashboard'!$K$4/(1-'Dashboard'!$K$4)</x:f>
        <x:v>4326.316923076923</x:v>
      </x:c>
      <x:c r="O29" s="80" t="n">
        <x:f>M29+N29</x:f>
        <x:v>112044.67692307693</x:v>
      </x:c>
      <x:c r="P29" s="30" t="str">
        <x:v>OGDEN/HILL AFB, UT (UT291)</x:v>
      </x:c>
      <x:c r="Q29" s="30" t="str">
        <x:v>Year=2004; ZIP=84056; Pay grade=O-6; Dependents=With dependents</x:v>
      </x:c>
      <x:c r="R29" s="76" t="str">
        <x:v>https://www.dfas.mil/Portals/98/MilPayTable2004.pdf</x:v>
      </x:c>
      <x:c r="S29" s="76" t="str">
        <x:v>https://www.travel.dod.mil/Allowances/Basic-Allowance-for-Housing/BAH-Rate-Lookup/</x:v>
      </x:c>
      <x:c r="T29" s="76" t="str">
        <x:v>https://www.dfas.mil/Portals/98/MilPayTable2004.pdf</x:v>
      </x:c>
    </x:row>
    <x:row r="30">
      <x:c r="A30" s="19" t="n">
        <x:v>2005</x:v>
      </x:c>
      <x:c r="B30" s="19" t="str">
        <x:v>Actual</x:v>
      </x:c>
      <x:c r="C30" s="19" t="str">
        <x:v>O-1</x:v>
      </x:c>
      <x:c r="D30" s="19" t="str">
        <x:v>O-1 under 2</x:v>
      </x:c>
      <x:c r="E30" s="69" t="n">
        <x:v>0</x:v>
      </x:c>
      <x:c r="F30" s="79" t="n">
        <x:v>2343.6</x:v>
      </x:c>
      <x:c r="G30" s="80" t="n">
        <x:f>F30*'Assumptions &amp; Sources'!$B$7</x:f>
        <x:v>28123.199999999997</x:v>
      </x:c>
      <x:c r="H30" s="79" t="n">
        <x:v>779</x:v>
      </x:c>
      <x:c r="I30" s="80" t="n">
        <x:f>H30*'Assumptions &amp; Sources'!$B$7</x:f>
        <x:v>9348</x:v>
      </x:c>
      <x:c r="J30" s="79" t="n">
        <x:v>183.99</x:v>
      </x:c>
      <x:c r="K30" s="80" t="n">
        <x:f>J30*'Assumptions &amp; Sources'!$B$7</x:f>
        <x:v>2207.88</x:v>
      </x:c>
      <x:c r="L30" s="80" t="n">
        <x:f>I30+K30</x:f>
        <x:v>11555.880000000001</x:v>
      </x:c>
      <x:c r="M30" s="80" t="n">
        <x:f>G30+I30+K30</x:f>
        <x:v>39679.079999999994</x:v>
      </x:c>
      <x:c r="N30" s="80" t="n">
        <x:f>L30*'Dashboard'!$K$4/(1-'Dashboard'!$K$4)</x:f>
        <x:v>3259.35076923077</x:v>
      </x:c>
      <x:c r="O30" s="80" t="n">
        <x:f>M30+N30</x:f>
        <x:v>42938.43076923076</x:v>
      </x:c>
      <x:c r="P30" s="30" t="str">
        <x:v>OGDEN/HILL AFB, UT (UT291)</x:v>
      </x:c>
      <x:c r="Q30" s="30" t="str">
        <x:v>Year=2005; ZIP=84056; Pay grade=O-1; Dependents=With dependents</x:v>
      </x:c>
      <x:c r="R30" s="76" t="str">
        <x:v>https://www.dfas.mil/Portals/98/MilPayTable2005.pdf</x:v>
      </x:c>
      <x:c r="S30" s="76" t="str">
        <x:v>https://www.travel.dod.mil/Allowances/Basic-Allowance-for-Housing/BAH-Rate-Lookup/</x:v>
      </x:c>
      <x:c r="T30" s="76" t="str">
        <x:v>https://www.dfas.mil/Portals/98/MilPayTable2005.pdf</x:v>
      </x:c>
    </x:row>
    <x:row r="31">
      <x:c r="A31" s="19" t="n">
        <x:v>2005</x:v>
      </x:c>
      <x:c r="B31" s="19" t="str">
        <x:v>Actual</x:v>
      </x:c>
      <x:c r="C31" s="19" t="str">
        <x:v>O-2</x:v>
      </x:c>
      <x:c r="D31" s="19" t="str">
        <x:v>O-2 over 2</x:v>
      </x:c>
      <x:c r="E31" s="69" t="n">
        <x:v>0</x:v>
      </x:c>
      <x:c r="F31" s="79" t="n">
        <x:v>3074.7</x:v>
      </x:c>
      <x:c r="G31" s="80" t="n">
        <x:f>F31*'Assumptions &amp; Sources'!$B$7</x:f>
        <x:v>36896.399999999994</x:v>
      </x:c>
      <x:c r="H31" s="79" t="n">
        <x:v>912</x:v>
      </x:c>
      <x:c r="I31" s="80" t="n">
        <x:f>H31*'Assumptions &amp; Sources'!$B$7</x:f>
        <x:v>10944</x:v>
      </x:c>
      <x:c r="J31" s="79" t="n">
        <x:v>183.99</x:v>
      </x:c>
      <x:c r="K31" s="80" t="n">
        <x:f>J31*'Assumptions &amp; Sources'!$B$7</x:f>
        <x:v>2207.88</x:v>
      </x:c>
      <x:c r="L31" s="80" t="n">
        <x:f>I31+K31</x:f>
        <x:v>13151.880000000001</x:v>
      </x:c>
      <x:c r="M31" s="80" t="n">
        <x:f>G31+I31+K31</x:f>
        <x:v>50048.27999999999</x:v>
      </x:c>
      <x:c r="N31" s="80" t="n">
        <x:f>L31*'Dashboard'!$K$4/(1-'Dashboard'!$K$4)</x:f>
        <x:v>3709.5046153846156</x:v>
      </x:c>
      <x:c r="O31" s="80" t="n">
        <x:f>M31+N31</x:f>
        <x:v>53757.784615384604</x:v>
      </x:c>
      <x:c r="P31" s="30" t="str">
        <x:v>OGDEN/HILL AFB, UT (UT291)</x:v>
      </x:c>
      <x:c r="Q31" s="30" t="str">
        <x:v>Year=2005; ZIP=84056; Pay grade=O-2; Dependents=With dependents</x:v>
      </x:c>
      <x:c r="R31" s="76" t="str">
        <x:v>https://www.dfas.mil/Portals/98/MilPayTable2005.pdf</x:v>
      </x:c>
      <x:c r="S31" s="76" t="str">
        <x:v>https://www.travel.dod.mil/Allowances/Basic-Allowance-for-Housing/BAH-Rate-Lookup/</x:v>
      </x:c>
      <x:c r="T31" s="76" t="str">
        <x:v>https://www.dfas.mil/Portals/98/MilPayTable2005.pdf</x:v>
      </x:c>
    </x:row>
    <x:row r="32">
      <x:c r="A32" s="19" t="n">
        <x:v>2005</x:v>
      </x:c>
      <x:c r="B32" s="19" t="str">
        <x:v>Actual</x:v>
      </x:c>
      <x:c r="C32" s="19" t="str">
        <x:v>O-3</x:v>
      </x:c>
      <x:c r="D32" s="19" t="str">
        <x:v>O-3 over 6</x:v>
      </x:c>
      <x:c r="E32" s="69" t="n">
        <x:v>0</x:v>
      </x:c>
      <x:c r="F32" s="79" t="n">
        <x:v>4367.7</x:v>
      </x:c>
      <x:c r="G32" s="80" t="n">
        <x:f>F32*'Assumptions &amp; Sources'!$B$7</x:f>
        <x:v>52412.399999999994</x:v>
      </x:c>
      <x:c r="H32" s="79" t="n">
        <x:v>1029</x:v>
      </x:c>
      <x:c r="I32" s="80" t="n">
        <x:f>H32*'Assumptions &amp; Sources'!$B$7</x:f>
        <x:v>12348</x:v>
      </x:c>
      <x:c r="J32" s="79" t="n">
        <x:v>183.99</x:v>
      </x:c>
      <x:c r="K32" s="80" t="n">
        <x:f>J32*'Assumptions &amp; Sources'!$B$7</x:f>
        <x:v>2207.88</x:v>
      </x:c>
      <x:c r="L32" s="80" t="n">
        <x:f>I32+K32</x:f>
        <x:v>14555.880000000001</x:v>
      </x:c>
      <x:c r="M32" s="80" t="n">
        <x:f>G32+I32+K32</x:f>
        <x:v>66968.28</x:v>
      </x:c>
      <x:c r="N32" s="80" t="n">
        <x:f>L32*'Dashboard'!$K$4/(1-'Dashboard'!$K$4)</x:f>
        <x:v>4105.504615384616</x:v>
      </x:c>
      <x:c r="O32" s="80" t="n">
        <x:f>M32+N32</x:f>
        <x:v>71073.78461538462</x:v>
      </x:c>
      <x:c r="P32" s="30" t="str">
        <x:v>OGDEN/HILL AFB, UT (UT291)</x:v>
      </x:c>
      <x:c r="Q32" s="30" t="str">
        <x:v>Year=2005; ZIP=84056; Pay grade=O-3; Dependents=With dependents</x:v>
      </x:c>
      <x:c r="R32" s="76" t="str">
        <x:v>https://www.dfas.mil/Portals/98/MilPayTable2005.pdf</x:v>
      </x:c>
      <x:c r="S32" s="76" t="str">
        <x:v>https://www.travel.dod.mil/Allowances/Basic-Allowance-for-Housing/BAH-Rate-Lookup/</x:v>
      </x:c>
      <x:c r="T32" s="76" t="str">
        <x:v>https://www.dfas.mil/Portals/98/MilPayTable2005.pdf</x:v>
      </x:c>
    </x:row>
    <x:row r="33">
      <x:c r="A33" s="19" t="n">
        <x:v>2005</x:v>
      </x:c>
      <x:c r="B33" s="19" t="str">
        <x:v>Actual</x:v>
      </x:c>
      <x:c r="C33" s="19" t="str">
        <x:v>O-4</x:v>
      </x:c>
      <x:c r="D33" s="19" t="str">
        <x:v>O-4 over 10</x:v>
      </x:c>
      <x:c r="E33" s="69" t="n">
        <x:v>0</x:v>
      </x:c>
      <x:c r="F33" s="79" t="n">
        <x:v>5317.5</x:v>
      </x:c>
      <x:c r="G33" s="80" t="n">
        <x:f>F33*'Assumptions &amp; Sources'!$B$7</x:f>
        <x:v>63810</x:v>
      </x:c>
      <x:c r="H33" s="79" t="n">
        <x:v>1144</x:v>
      </x:c>
      <x:c r="I33" s="80" t="n">
        <x:f>H33*'Assumptions &amp; Sources'!$B$7</x:f>
        <x:v>13728</x:v>
      </x:c>
      <x:c r="J33" s="79" t="n">
        <x:v>183.99</x:v>
      </x:c>
      <x:c r="K33" s="80" t="n">
        <x:f>J33*'Assumptions &amp; Sources'!$B$7</x:f>
        <x:v>2207.88</x:v>
      </x:c>
      <x:c r="L33" s="80" t="n">
        <x:f>I33+K33</x:f>
        <x:v>15935.880000000001</x:v>
      </x:c>
      <x:c r="M33" s="80" t="n">
        <x:f>G33+I33+K33</x:f>
        <x:v>79745.88</x:v>
      </x:c>
      <x:c r="N33" s="80" t="n">
        <x:f>L33*'Dashboard'!$K$4/(1-'Dashboard'!$K$4)</x:f>
        <x:v>4494.735384615385</x:v>
      </x:c>
      <x:c r="O33" s="80" t="n">
        <x:f>M33+N33</x:f>
        <x:v>84240.61538461539</x:v>
      </x:c>
      <x:c r="P33" s="30" t="str">
        <x:v>OGDEN/HILL AFB, UT (UT291)</x:v>
      </x:c>
      <x:c r="Q33" s="30" t="str">
        <x:v>Year=2005; ZIP=84056; Pay grade=O-4; Dependents=With dependents</x:v>
      </x:c>
      <x:c r="R33" s="76" t="str">
        <x:v>https://www.dfas.mil/Portals/98/MilPayTable2005.pdf</x:v>
      </x:c>
      <x:c r="S33" s="76" t="str">
        <x:v>https://www.travel.dod.mil/Allowances/Basic-Allowance-for-Housing/BAH-Rate-Lookup/</x:v>
      </x:c>
      <x:c r="T33" s="76" t="str">
        <x:v>https://www.dfas.mil/Portals/98/MilPayTable2005.pdf</x:v>
      </x:c>
    </x:row>
    <x:row r="34">
      <x:c r="A34" s="19" t="n">
        <x:v>2005</x:v>
      </x:c>
      <x:c r="B34" s="19" t="str">
        <x:v>Actual</x:v>
      </x:c>
      <x:c r="C34" s="19" t="str">
        <x:v>O-5</x:v>
      </x:c>
      <x:c r="D34" s="19" t="str">
        <x:v>O-5 over 16</x:v>
      </x:c>
      <x:c r="E34" s="69" t="n">
        <x:v>0</x:v>
      </x:c>
      <x:c r="F34" s="79" t="n">
        <x:v>6431.1</x:v>
      </x:c>
      <x:c r="G34" s="80" t="n">
        <x:f>F34*'Assumptions &amp; Sources'!$B$7</x:f>
        <x:v>77173.20000000001</x:v>
      </x:c>
      <x:c r="H34" s="79" t="n">
        <x:v>1224</x:v>
      </x:c>
      <x:c r="I34" s="80" t="n">
        <x:f>H34*'Assumptions &amp; Sources'!$B$7</x:f>
        <x:v>14688</x:v>
      </x:c>
      <x:c r="J34" s="79" t="n">
        <x:v>183.99</x:v>
      </x:c>
      <x:c r="K34" s="80" t="n">
        <x:f>J34*'Assumptions &amp; Sources'!$B$7</x:f>
        <x:v>2207.88</x:v>
      </x:c>
      <x:c r="L34" s="80" t="n">
        <x:f>I34+K34</x:f>
        <x:v>16895.88</x:v>
      </x:c>
      <x:c r="M34" s="80" t="n">
        <x:f>G34+I34+K34</x:f>
        <x:v>94069.08000000002</x:v>
      </x:c>
      <x:c r="N34" s="80" t="n">
        <x:f>L34*'Dashboard'!$K$4/(1-'Dashboard'!$K$4)</x:f>
        <x:v>4765.504615384615</x:v>
      </x:c>
      <x:c r="O34" s="80" t="n">
        <x:f>M34+N34</x:f>
        <x:v>98834.58461538464</x:v>
      </x:c>
      <x:c r="P34" s="30" t="str">
        <x:v>OGDEN/HILL AFB, UT (UT291)</x:v>
      </x:c>
      <x:c r="Q34" s="30" t="str">
        <x:v>Year=2005; ZIP=84056; Pay grade=O-5; Dependents=With dependents</x:v>
      </x:c>
      <x:c r="R34" s="76" t="str">
        <x:v>https://www.dfas.mil/Portals/98/MilPayTable2005.pdf</x:v>
      </x:c>
      <x:c r="S34" s="76" t="str">
        <x:v>https://www.travel.dod.mil/Allowances/Basic-Allowance-for-Housing/BAH-Rate-Lookup/</x:v>
      </x:c>
      <x:c r="T34" s="76" t="str">
        <x:v>https://www.dfas.mil/Portals/98/MilPayTable2005.pdf</x:v>
      </x:c>
    </x:row>
    <x:row r="35">
      <x:c r="A35" s="19" t="n">
        <x:v>2005</x:v>
      </x:c>
      <x:c r="B35" s="19" t="str">
        <x:v>Actual</x:v>
      </x:c>
      <x:c r="C35" s="19" t="str">
        <x:v>O-6</x:v>
      </x:c>
      <x:c r="D35" s="19" t="str">
        <x:v>O-6 over 22</x:v>
      </x:c>
      <x:c r="E35" s="69" t="n">
        <x:v>0</x:v>
      </x:c>
      <x:c r="F35" s="79" t="n">
        <x:v>7967.7</x:v>
      </x:c>
      <x:c r="G35" s="80" t="n">
        <x:f>F35*'Assumptions &amp; Sources'!$B$7</x:f>
        <x:v>95612.4</x:v>
      </x:c>
      <x:c r="H35" s="79" t="n">
        <x:v>1234</x:v>
      </x:c>
      <x:c r="I35" s="80" t="n">
        <x:f>H35*'Assumptions &amp; Sources'!$B$7</x:f>
        <x:v>14808</x:v>
      </x:c>
      <x:c r="J35" s="79" t="n">
        <x:v>183.99</x:v>
      </x:c>
      <x:c r="K35" s="80" t="n">
        <x:f>J35*'Assumptions &amp; Sources'!$B$7</x:f>
        <x:v>2207.88</x:v>
      </x:c>
      <x:c r="L35" s="80" t="n">
        <x:f>I35+K35</x:f>
        <x:v>17015.88</x:v>
      </x:c>
      <x:c r="M35" s="80" t="n">
        <x:f>G35+I35+K35</x:f>
        <x:v>112628.28</x:v>
      </x:c>
      <x:c r="N35" s="80" t="n">
        <x:f>L35*'Dashboard'!$K$4/(1-'Dashboard'!$K$4)</x:f>
        <x:v>4799.350769230769</x:v>
      </x:c>
      <x:c r="O35" s="80" t="n">
        <x:f>M35+N35</x:f>
        <x:v>117427.63076923077</x:v>
      </x:c>
      <x:c r="P35" s="30" t="str">
        <x:v>OGDEN/HILL AFB, UT (UT291)</x:v>
      </x:c>
      <x:c r="Q35" s="30" t="str">
        <x:v>Year=2005; ZIP=84056; Pay grade=O-6; Dependents=With dependents</x:v>
      </x:c>
      <x:c r="R35" s="76" t="str">
        <x:v>https://www.dfas.mil/Portals/98/MilPayTable2005.pdf</x:v>
      </x:c>
      <x:c r="S35" s="76" t="str">
        <x:v>https://www.travel.dod.mil/Allowances/Basic-Allowance-for-Housing/BAH-Rate-Lookup/</x:v>
      </x:c>
      <x:c r="T35" s="76" t="str">
        <x:v>https://www.dfas.mil/Portals/98/MilPayTable2005.pdf</x:v>
      </x:c>
    </x:row>
    <x:row r="36">
      <x:c r="A36" s="19" t="n">
        <x:v>2006</x:v>
      </x:c>
      <x:c r="B36" s="19" t="str">
        <x:v>Actual</x:v>
      </x:c>
      <x:c r="C36" s="19" t="str">
        <x:v>O-1</x:v>
      </x:c>
      <x:c r="D36" s="19" t="str">
        <x:v>O-1 under 2</x:v>
      </x:c>
      <x:c r="E36" s="69" t="n">
        <x:v>0</x:v>
      </x:c>
      <x:c r="F36" s="79" t="n">
        <x:v>2416.2</x:v>
      </x:c>
      <x:c r="G36" s="80" t="n">
        <x:f>F36*'Assumptions &amp; Sources'!$B$7</x:f>
        <x:v>28994.399999999998</x:v>
      </x:c>
      <x:c r="H36" s="79" t="n">
        <x:v>794</x:v>
      </x:c>
      <x:c r="I36" s="80" t="n">
        <x:f>H36*'Assumptions &amp; Sources'!$B$7</x:f>
        <x:v>9528</x:v>
      </x:c>
      <x:c r="J36" s="79" t="n">
        <x:v>187.49</x:v>
      </x:c>
      <x:c r="K36" s="80" t="n">
        <x:f>J36*'Assumptions &amp; Sources'!$B$7</x:f>
        <x:v>2249.88</x:v>
      </x:c>
      <x:c r="L36" s="80" t="n">
        <x:f>I36+K36</x:f>
        <x:v>11777.880000000001</x:v>
      </x:c>
      <x:c r="M36" s="80" t="n">
        <x:f>G36+I36+K36</x:f>
        <x:v>40772.27999999999</x:v>
      </x:c>
      <x:c r="N36" s="80" t="n">
        <x:f>L36*'Dashboard'!$K$4/(1-'Dashboard'!$K$4)</x:f>
        <x:v>3321.9661538461537</x:v>
      </x:c>
      <x:c r="O36" s="80" t="n">
        <x:f>M36+N36</x:f>
        <x:v>44094.24615384614</x:v>
      </x:c>
      <x:c r="P36" s="30" t="str">
        <x:v>OGDEN/HILL AFB, UT (UT291)</x:v>
      </x:c>
      <x:c r="Q36" s="30" t="str">
        <x:v>Year=2006; ZIP=84056; Pay grade=O-1; Dependents=With dependents</x:v>
      </x:c>
      <x:c r="R36" s="76" t="str">
        <x:v>https://www.dfas.mil/Portals/98/MilPayTable2006.pdf</x:v>
      </x:c>
      <x:c r="S36" s="76" t="str">
        <x:v>https://www.travel.dod.mil/Allowances/Basic-Allowance-for-Housing/BAH-Rate-Lookup/</x:v>
      </x:c>
      <x:c r="T36" s="76" t="str">
        <x:v>https://www.dfas.mil/Portals/98/MilPayTable2006.pdf</x:v>
      </x:c>
    </x:row>
    <x:row r="37">
      <x:c r="A37" s="19" t="n">
        <x:v>2006</x:v>
      </x:c>
      <x:c r="B37" s="19" t="str">
        <x:v>Actual</x:v>
      </x:c>
      <x:c r="C37" s="19" t="str">
        <x:v>O-2</x:v>
      </x:c>
      <x:c r="D37" s="19" t="str">
        <x:v>O-2 over 2</x:v>
      </x:c>
      <x:c r="E37" s="69" t="n">
        <x:v>0</x:v>
      </x:c>
      <x:c r="F37" s="79" t="n">
        <x:v>3170.1</x:v>
      </x:c>
      <x:c r="G37" s="80" t="n">
        <x:f>F37*'Assumptions &amp; Sources'!$B$7</x:f>
        <x:v>38041.2</x:v>
      </x:c>
      <x:c r="H37" s="79" t="n">
        <x:v>929</x:v>
      </x:c>
      <x:c r="I37" s="80" t="n">
        <x:f>H37*'Assumptions &amp; Sources'!$B$7</x:f>
        <x:v>11148</x:v>
      </x:c>
      <x:c r="J37" s="79" t="n">
        <x:v>187.49</x:v>
      </x:c>
      <x:c r="K37" s="80" t="n">
        <x:f>J37*'Assumptions &amp; Sources'!$B$7</x:f>
        <x:v>2249.88</x:v>
      </x:c>
      <x:c r="L37" s="80" t="n">
        <x:f>I37+K37</x:f>
        <x:v>13397.880000000001</x:v>
      </x:c>
      <x:c r="M37" s="80" t="n">
        <x:f>G37+I37+K37</x:f>
        <x:v>51439.079999999994</x:v>
      </x:c>
      <x:c r="N37" s="80" t="n">
        <x:f>L37*'Dashboard'!$K$4/(1-'Dashboard'!$K$4)</x:f>
        <x:v>3778.889230769231</x:v>
      </x:c>
      <x:c r="O37" s="80" t="n">
        <x:f>M37+N37</x:f>
        <x:v>55217.969230769224</x:v>
      </x:c>
      <x:c r="P37" s="30" t="str">
        <x:v>OGDEN/HILL AFB, UT (UT291)</x:v>
      </x:c>
      <x:c r="Q37" s="30" t="str">
        <x:v>Year=2006; ZIP=84056; Pay grade=O-2; Dependents=With dependents</x:v>
      </x:c>
      <x:c r="R37" s="76" t="str">
        <x:v>https://www.dfas.mil/Portals/98/MilPayTable2006.pdf</x:v>
      </x:c>
      <x:c r="S37" s="76" t="str">
        <x:v>https://www.travel.dod.mil/Allowances/Basic-Allowance-for-Housing/BAH-Rate-Lookup/</x:v>
      </x:c>
      <x:c r="T37" s="76" t="str">
        <x:v>https://www.dfas.mil/Portals/98/MilPayTable2006.pdf</x:v>
      </x:c>
    </x:row>
    <x:row r="38">
      <x:c r="A38" s="19" t="n">
        <x:v>2006</x:v>
      </x:c>
      <x:c r="B38" s="19" t="str">
        <x:v>Actual</x:v>
      </x:c>
      <x:c r="C38" s="19" t="str">
        <x:v>O-3</x:v>
      </x:c>
      <x:c r="D38" s="19" t="str">
        <x:v>O-3 over 6</x:v>
      </x:c>
      <x:c r="E38" s="69" t="n">
        <x:v>0</x:v>
      </x:c>
      <x:c r="F38" s="79" t="n">
        <x:v>4503</x:v>
      </x:c>
      <x:c r="G38" s="80" t="n">
        <x:f>F38*'Assumptions &amp; Sources'!$B$7</x:f>
        <x:v>54036</x:v>
      </x:c>
      <x:c r="H38" s="79" t="n">
        <x:v>1088</x:v>
      </x:c>
      <x:c r="I38" s="80" t="n">
        <x:f>H38*'Assumptions &amp; Sources'!$B$7</x:f>
        <x:v>13056</x:v>
      </x:c>
      <x:c r="J38" s="79" t="n">
        <x:v>187.49</x:v>
      </x:c>
      <x:c r="K38" s="80" t="n">
        <x:f>J38*'Assumptions &amp; Sources'!$B$7</x:f>
        <x:v>2249.88</x:v>
      </x:c>
      <x:c r="L38" s="80" t="n">
        <x:f>I38+K38</x:f>
        <x:v>15305.880000000001</x:v>
      </x:c>
      <x:c r="M38" s="80" t="n">
        <x:f>G38+I38+K38</x:f>
        <x:v>69341.88</x:v>
      </x:c>
      <x:c r="N38" s="80" t="n">
        <x:f>L38*'Dashboard'!$K$4/(1-'Dashboard'!$K$4)</x:f>
        <x:v>4317.043076923077</x:v>
      </x:c>
      <x:c r="O38" s="80" t="n">
        <x:f>M38+N38</x:f>
        <x:v>73658.92307692308</x:v>
      </x:c>
      <x:c r="P38" s="30" t="str">
        <x:v>OGDEN/HILL AFB, UT (UT291)</x:v>
      </x:c>
      <x:c r="Q38" s="30" t="str">
        <x:v>Year=2006; ZIP=84056; Pay grade=O-3; Dependents=With dependents</x:v>
      </x:c>
      <x:c r="R38" s="76" t="str">
        <x:v>https://www.dfas.mil/Portals/98/MilPayTable2006.pdf</x:v>
      </x:c>
      <x:c r="S38" s="76" t="str">
        <x:v>https://www.travel.dod.mil/Allowances/Basic-Allowance-for-Housing/BAH-Rate-Lookup/</x:v>
      </x:c>
      <x:c r="T38" s="76" t="str">
        <x:v>https://www.dfas.mil/Portals/98/MilPayTable2006.pdf</x:v>
      </x:c>
    </x:row>
    <x:row r="39">
      <x:c r="A39" s="19" t="n">
        <x:v>2006</x:v>
      </x:c>
      <x:c r="B39" s="19" t="str">
        <x:v>Actual</x:v>
      </x:c>
      <x:c r="C39" s="19" t="str">
        <x:v>O-4</x:v>
      </x:c>
      <x:c r="D39" s="19" t="str">
        <x:v>O-4 over 10</x:v>
      </x:c>
      <x:c r="E39" s="69" t="n">
        <x:v>0</x:v>
      </x:c>
      <x:c r="F39" s="79" t="n">
        <x:v>5482.2</x:v>
      </x:c>
      <x:c r="G39" s="80" t="n">
        <x:f>F39*'Assumptions &amp; Sources'!$B$7</x:f>
        <x:v>65786.4</x:v>
      </x:c>
      <x:c r="H39" s="79" t="n">
        <x:v>1172</x:v>
      </x:c>
      <x:c r="I39" s="80" t="n">
        <x:f>H39*'Assumptions &amp; Sources'!$B$7</x:f>
        <x:v>14064</x:v>
      </x:c>
      <x:c r="J39" s="79" t="n">
        <x:v>187.49</x:v>
      </x:c>
      <x:c r="K39" s="80" t="n">
        <x:f>J39*'Assumptions &amp; Sources'!$B$7</x:f>
        <x:v>2249.88</x:v>
      </x:c>
      <x:c r="L39" s="80" t="n">
        <x:f>I39+K39</x:f>
        <x:v>16313.880000000001</x:v>
      </x:c>
      <x:c r="M39" s="80" t="n">
        <x:f>G39+I39+K39</x:f>
        <x:v>82100.28</x:v>
      </x:c>
      <x:c r="N39" s="80" t="n">
        <x:f>L39*'Dashboard'!$K$4/(1-'Dashboard'!$K$4)</x:f>
        <x:v>4601.350769230769</x:v>
      </x:c>
      <x:c r="O39" s="80" t="n">
        <x:f>M39+N39</x:f>
        <x:v>86701.63076923077</x:v>
      </x:c>
      <x:c r="P39" s="30" t="str">
        <x:v>OGDEN/HILL AFB, UT (UT291)</x:v>
      </x:c>
      <x:c r="Q39" s="30" t="str">
        <x:v>Year=2006; ZIP=84056; Pay grade=O-4; Dependents=With dependents</x:v>
      </x:c>
      <x:c r="R39" s="76" t="str">
        <x:v>https://www.dfas.mil/Portals/98/MilPayTable2006.pdf</x:v>
      </x:c>
      <x:c r="S39" s="76" t="str">
        <x:v>https://www.travel.dod.mil/Allowances/Basic-Allowance-for-Housing/BAH-Rate-Lookup/</x:v>
      </x:c>
      <x:c r="T39" s="76" t="str">
        <x:v>https://www.dfas.mil/Portals/98/MilPayTable2006.pdf</x:v>
      </x:c>
    </x:row>
    <x:row r="40">
      <x:c r="A40" s="19" t="n">
        <x:v>2006</x:v>
      </x:c>
      <x:c r="B40" s="19" t="str">
        <x:v>Actual</x:v>
      </x:c>
      <x:c r="C40" s="19" t="str">
        <x:v>O-5</x:v>
      </x:c>
      <x:c r="D40" s="19" t="str">
        <x:v>O-5 over 16</x:v>
      </x:c>
      <x:c r="E40" s="69" t="n">
        <x:v>0</x:v>
      </x:c>
      <x:c r="F40" s="79" t="n">
        <x:v>6630.6</x:v>
      </x:c>
      <x:c r="G40" s="80" t="n">
        <x:f>F40*'Assumptions &amp; Sources'!$B$7</x:f>
        <x:v>79567.20000000001</x:v>
      </x:c>
      <x:c r="H40" s="79" t="n">
        <x:v>1230</x:v>
      </x:c>
      <x:c r="I40" s="80" t="n">
        <x:f>H40*'Assumptions &amp; Sources'!$B$7</x:f>
        <x:v>14760</x:v>
      </x:c>
      <x:c r="J40" s="79" t="n">
        <x:v>187.49</x:v>
      </x:c>
      <x:c r="K40" s="80" t="n">
        <x:f>J40*'Assumptions &amp; Sources'!$B$7</x:f>
        <x:v>2249.88</x:v>
      </x:c>
      <x:c r="L40" s="80" t="n">
        <x:f>I40+K40</x:f>
        <x:v>17009.88</x:v>
      </x:c>
      <x:c r="M40" s="80" t="n">
        <x:f>G40+I40+K40</x:f>
        <x:v>96577.08000000002</x:v>
      </x:c>
      <x:c r="N40" s="80" t="n">
        <x:f>L40*'Dashboard'!$K$4/(1-'Dashboard'!$K$4)</x:f>
        <x:v>4797.658461538462</x:v>
      </x:c>
      <x:c r="O40" s="80" t="n">
        <x:f>M40+N40</x:f>
        <x:v>101374.73846153848</x:v>
      </x:c>
      <x:c r="P40" s="30" t="str">
        <x:v>OGDEN/HILL AFB, UT (UT291)</x:v>
      </x:c>
      <x:c r="Q40" s="30" t="str">
        <x:v>Year=2006; ZIP=84056; Pay grade=O-5; Dependents=With dependents</x:v>
      </x:c>
      <x:c r="R40" s="76" t="str">
        <x:v>https://www.dfas.mil/Portals/98/MilPayTable2006.pdf</x:v>
      </x:c>
      <x:c r="S40" s="76" t="str">
        <x:v>https://www.travel.dod.mil/Allowances/Basic-Allowance-for-Housing/BAH-Rate-Lookup/</x:v>
      </x:c>
      <x:c r="T40" s="76" t="str">
        <x:v>https://www.dfas.mil/Portals/98/MilPayTable2006.pdf</x:v>
      </x:c>
    </x:row>
    <x:row r="41">
      <x:c r="A41" s="19" t="n">
        <x:v>2006</x:v>
      </x:c>
      <x:c r="B41" s="19" t="str">
        <x:v>Actual</x:v>
      </x:c>
      <x:c r="C41" s="19" t="str">
        <x:v>O-6</x:v>
      </x:c>
      <x:c r="D41" s="19" t="str">
        <x:v>O-6 over 22</x:v>
      </x:c>
      <x:c r="E41" s="69" t="n">
        <x:v>0</x:v>
      </x:c>
      <x:c r="F41" s="79" t="n">
        <x:v>8214.6</x:v>
      </x:c>
      <x:c r="G41" s="80" t="n">
        <x:f>F41*'Assumptions &amp; Sources'!$B$7</x:f>
        <x:v>98575.20000000001</x:v>
      </x:c>
      <x:c r="H41" s="79" t="n">
        <x:v>1240</x:v>
      </x:c>
      <x:c r="I41" s="80" t="n">
        <x:f>H41*'Assumptions &amp; Sources'!$B$7</x:f>
        <x:v>14880</x:v>
      </x:c>
      <x:c r="J41" s="79" t="n">
        <x:v>187.49</x:v>
      </x:c>
      <x:c r="K41" s="80" t="n">
        <x:f>J41*'Assumptions &amp; Sources'!$B$7</x:f>
        <x:v>2249.88</x:v>
      </x:c>
      <x:c r="L41" s="80" t="n">
        <x:f>I41+K41</x:f>
        <x:v>17129.88</x:v>
      </x:c>
      <x:c r="M41" s="80" t="n">
        <x:f>G41+I41+K41</x:f>
        <x:v>115705.08000000002</x:v>
      </x:c>
      <x:c r="N41" s="80" t="n">
        <x:f>L41*'Dashboard'!$K$4/(1-'Dashboard'!$K$4)</x:f>
        <x:v>4831.504615384615</x:v>
      </x:c>
      <x:c r="O41" s="80" t="n">
        <x:f>M41+N41</x:f>
        <x:v>120536.58461538464</x:v>
      </x:c>
      <x:c r="P41" s="30" t="str">
        <x:v>OGDEN/HILL AFB, UT (UT291)</x:v>
      </x:c>
      <x:c r="Q41" s="30" t="str">
        <x:v>Year=2006; ZIP=84056; Pay grade=O-6; Dependents=With dependents</x:v>
      </x:c>
      <x:c r="R41" s="76" t="str">
        <x:v>https://www.dfas.mil/Portals/98/MilPayTable2006.pdf</x:v>
      </x:c>
      <x:c r="S41" s="76" t="str">
        <x:v>https://www.travel.dod.mil/Allowances/Basic-Allowance-for-Housing/BAH-Rate-Lookup/</x:v>
      </x:c>
      <x:c r="T41" s="76" t="str">
        <x:v>https://www.dfas.mil/Portals/98/MilPayTable2006.pdf</x:v>
      </x:c>
    </x:row>
    <x:row r="42">
      <x:c r="A42" s="19" t="n">
        <x:v>2007</x:v>
      </x:c>
      <x:c r="B42" s="19" t="str">
        <x:v>Actual</x:v>
      </x:c>
      <x:c r="C42" s="19" t="str">
        <x:v>O-1</x:v>
      </x:c>
      <x:c r="D42" s="19" t="str">
        <x:v>O-1 under 2</x:v>
      </x:c>
      <x:c r="E42" s="69" t="n">
        <x:v>0</x:v>
      </x:c>
      <x:c r="F42" s="79" t="n">
        <x:v>2469.3</x:v>
      </x:c>
      <x:c r="G42" s="80" t="n">
        <x:f>F42*'Assumptions &amp; Sources'!$B$7</x:f>
        <x:v>29631.600000000002</x:v>
      </x:c>
      <x:c r="H42" s="79" t="n">
        <x:v>812</x:v>
      </x:c>
      <x:c r="I42" s="80" t="n">
        <x:f>H42*'Assumptions &amp; Sources'!$B$7</x:f>
        <x:v>9744</x:v>
      </x:c>
      <x:c r="J42" s="79" t="n">
        <x:v>192.74</x:v>
      </x:c>
      <x:c r="K42" s="80" t="n">
        <x:f>J42*'Assumptions &amp; Sources'!$B$7</x:f>
        <x:v>2312.88</x:v>
      </x:c>
      <x:c r="L42" s="80" t="n">
        <x:f>I42+K42</x:f>
        <x:v>12056.880000000001</x:v>
      </x:c>
      <x:c r="M42" s="80" t="n">
        <x:f>G42+I42+K42</x:f>
        <x:v>41688.48</x:v>
      </x:c>
      <x:c r="N42" s="80" t="n">
        <x:f>L42*'Dashboard'!$K$4/(1-'Dashboard'!$K$4)</x:f>
        <x:v>3400.658461538462</x:v>
      </x:c>
      <x:c r="O42" s="80" t="n">
        <x:f>M42+N42</x:f>
        <x:v>45089.13846153847</x:v>
      </x:c>
      <x:c r="P42" s="30" t="str">
        <x:v>OGDEN/HILL AFB, UT (UT291)</x:v>
      </x:c>
      <x:c r="Q42" s="30" t="str">
        <x:v>Year=2007; ZIP=84056; Pay grade=O-1; Dependents=With dependents</x:v>
      </x:c>
      <x:c r="R42" s="76" t="str">
        <x:v>https://www.dfas.mil/Portals/98/MilPayTable2007.pdf</x:v>
      </x:c>
      <x:c r="S42" s="76" t="str">
        <x:v>https://www.travel.dod.mil/Allowances/Basic-Allowance-for-Housing/BAH-Rate-Lookup/</x:v>
      </x:c>
      <x:c r="T42" s="76" t="str">
        <x:v>https://www.dfas.mil/Portals/98/MilPayTable2007.pdf</x:v>
      </x:c>
    </x:row>
    <x:row r="43">
      <x:c r="A43" s="19" t="n">
        <x:v>2007</x:v>
      </x:c>
      <x:c r="B43" s="19" t="str">
        <x:v>Actual</x:v>
      </x:c>
      <x:c r="C43" s="19" t="str">
        <x:v>O-2</x:v>
      </x:c>
      <x:c r="D43" s="19" t="str">
        <x:v>O-2 over 2</x:v>
      </x:c>
      <x:c r="E43" s="69" t="n">
        <x:v>0</x:v>
      </x:c>
      <x:c r="F43" s="79" t="n">
        <x:v>3239.7</x:v>
      </x:c>
      <x:c r="G43" s="80" t="n">
        <x:f>F43*'Assumptions &amp; Sources'!$B$7</x:f>
        <x:v>38876.399999999994</x:v>
      </x:c>
      <x:c r="H43" s="79" t="n">
        <x:v>904</x:v>
      </x:c>
      <x:c r="I43" s="80" t="n">
        <x:f>H43*'Assumptions &amp; Sources'!$B$7</x:f>
        <x:v>10848</x:v>
      </x:c>
      <x:c r="J43" s="79" t="n">
        <x:v>192.74</x:v>
      </x:c>
      <x:c r="K43" s="80" t="n">
        <x:f>J43*'Assumptions &amp; Sources'!$B$7</x:f>
        <x:v>2312.88</x:v>
      </x:c>
      <x:c r="L43" s="80" t="n">
        <x:f>I43+K43</x:f>
        <x:v>13160.880000000001</x:v>
      </x:c>
      <x:c r="M43" s="80" t="n">
        <x:f>G43+I43+K43</x:f>
        <x:v>52037.27999999999</x:v>
      </x:c>
      <x:c r="N43" s="80" t="n">
        <x:f>L43*'Dashboard'!$K$4/(1-'Dashboard'!$K$4)</x:f>
        <x:v>3712.043076923077</x:v>
      </x:c>
      <x:c r="O43" s="80" t="n">
        <x:f>M43+N43</x:f>
        <x:v>55749.32307692307</x:v>
      </x:c>
      <x:c r="P43" s="30" t="str">
        <x:v>OGDEN/HILL AFB, UT (UT291)</x:v>
      </x:c>
      <x:c r="Q43" s="30" t="str">
        <x:v>Year=2007; ZIP=84056; Pay grade=O-2; Dependents=With dependents</x:v>
      </x:c>
      <x:c r="R43" s="76" t="str">
        <x:v>https://www.dfas.mil/Portals/98/MilPayTable2007.pdf</x:v>
      </x:c>
      <x:c r="S43" s="76" t="str">
        <x:v>https://www.travel.dod.mil/Allowances/Basic-Allowance-for-Housing/BAH-Rate-Lookup/</x:v>
      </x:c>
      <x:c r="T43" s="76" t="str">
        <x:v>https://www.dfas.mil/Portals/98/MilPayTable2007.pdf</x:v>
      </x:c>
    </x:row>
    <x:row r="44">
      <x:c r="A44" s="19" t="n">
        <x:v>2007</x:v>
      </x:c>
      <x:c r="B44" s="19" t="str">
        <x:v>Actual</x:v>
      </x:c>
      <x:c r="C44" s="19" t="str">
        <x:v>O-3</x:v>
      </x:c>
      <x:c r="D44" s="19" t="str">
        <x:v>O-3 over 6</x:v>
      </x:c>
      <x:c r="E44" s="69" t="n">
        <x:v>0</x:v>
      </x:c>
      <x:c r="F44" s="79" t="n">
        <x:v>4602</x:v>
      </x:c>
      <x:c r="G44" s="80" t="n">
        <x:f>F44*'Assumptions &amp; Sources'!$B$7</x:f>
        <x:v>55224</x:v>
      </x:c>
      <x:c r="H44" s="79" t="n">
        <x:v>1064</x:v>
      </x:c>
      <x:c r="I44" s="80" t="n">
        <x:f>H44*'Assumptions &amp; Sources'!$B$7</x:f>
        <x:v>12768</x:v>
      </x:c>
      <x:c r="J44" s="79" t="n">
        <x:v>192.74</x:v>
      </x:c>
      <x:c r="K44" s="80" t="n">
        <x:f>J44*'Assumptions &amp; Sources'!$B$7</x:f>
        <x:v>2312.88</x:v>
      </x:c>
      <x:c r="L44" s="80" t="n">
        <x:f>I44+K44</x:f>
        <x:v>15080.880000000001</x:v>
      </x:c>
      <x:c r="M44" s="80" t="n">
        <x:f>G44+I44+K44</x:f>
        <x:v>70304.88</x:v>
      </x:c>
      <x:c r="N44" s="80" t="n">
        <x:f>L44*'Dashboard'!$K$4/(1-'Dashboard'!$K$4)</x:f>
        <x:v>4253.581538461539</x:v>
      </x:c>
      <x:c r="O44" s="80" t="n">
        <x:f>M44+N44</x:f>
        <x:v>74558.46153846155</x:v>
      </x:c>
      <x:c r="P44" s="30" t="str">
        <x:v>OGDEN/HILL AFB, UT (UT291)</x:v>
      </x:c>
      <x:c r="Q44" s="30" t="str">
        <x:v>Year=2007; ZIP=84056; Pay grade=O-3; Dependents=With dependents</x:v>
      </x:c>
      <x:c r="R44" s="76" t="str">
        <x:v>https://www.dfas.mil/Portals/98/MilPayTable2007.pdf</x:v>
      </x:c>
      <x:c r="S44" s="76" t="str">
        <x:v>https://www.travel.dod.mil/Allowances/Basic-Allowance-for-Housing/BAH-Rate-Lookup/</x:v>
      </x:c>
      <x:c r="T44" s="76" t="str">
        <x:v>https://www.dfas.mil/Portals/98/MilPayTable2007.pdf</x:v>
      </x:c>
    </x:row>
    <x:row r="45">
      <x:c r="A45" s="19" t="n">
        <x:v>2007</x:v>
      </x:c>
      <x:c r="B45" s="19" t="str">
        <x:v>Actual</x:v>
      </x:c>
      <x:c r="C45" s="19" t="str">
        <x:v>O-4</x:v>
      </x:c>
      <x:c r="D45" s="19" t="str">
        <x:v>O-4 over 10</x:v>
      </x:c>
      <x:c r="E45" s="69" t="n">
        <x:v>0</x:v>
      </x:c>
      <x:c r="F45" s="79" t="n">
        <x:v>5602.8</x:v>
      </x:c>
      <x:c r="G45" s="80" t="n">
        <x:f>F45*'Assumptions &amp; Sources'!$B$7</x:f>
        <x:v>67233.6</x:v>
      </x:c>
      <x:c r="H45" s="79" t="n">
        <x:v>1192</x:v>
      </x:c>
      <x:c r="I45" s="80" t="n">
        <x:f>H45*'Assumptions &amp; Sources'!$B$7</x:f>
        <x:v>14304</x:v>
      </x:c>
      <x:c r="J45" s="79" t="n">
        <x:v>192.74</x:v>
      </x:c>
      <x:c r="K45" s="80" t="n">
        <x:f>J45*'Assumptions &amp; Sources'!$B$7</x:f>
        <x:v>2312.88</x:v>
      </x:c>
      <x:c r="L45" s="80" t="n">
        <x:f>I45+K45</x:f>
        <x:v>16616.88</x:v>
      </x:c>
      <x:c r="M45" s="80" t="n">
        <x:f>G45+I45+K45</x:f>
        <x:v>83850.48000000001</x:v>
      </x:c>
      <x:c r="N45" s="80" t="n">
        <x:f>L45*'Dashboard'!$K$4/(1-'Dashboard'!$K$4)</x:f>
        <x:v>4686.8123076923075</x:v>
      </x:c>
      <x:c r="O45" s="80" t="n">
        <x:f>M45+N45</x:f>
        <x:v>88537.29230769232</x:v>
      </x:c>
      <x:c r="P45" s="30" t="str">
        <x:v>OGDEN/HILL AFB, UT (UT291)</x:v>
      </x:c>
      <x:c r="Q45" s="30" t="str">
        <x:v>Year=2007; ZIP=84056; Pay grade=O-4; Dependents=With dependents</x:v>
      </x:c>
      <x:c r="R45" s="76" t="str">
        <x:v>https://www.dfas.mil/Portals/98/MilPayTable2007.pdf</x:v>
      </x:c>
      <x:c r="S45" s="76" t="str">
        <x:v>https://www.travel.dod.mil/Allowances/Basic-Allowance-for-Housing/BAH-Rate-Lookup/</x:v>
      </x:c>
      <x:c r="T45" s="76" t="str">
        <x:v>https://www.dfas.mil/Portals/98/MilPayTable2007.pdf</x:v>
      </x:c>
    </x:row>
    <x:row r="46">
      <x:c r="A46" s="19" t="n">
        <x:v>2007</x:v>
      </x:c>
      <x:c r="B46" s="19" t="str">
        <x:v>Actual</x:v>
      </x:c>
      <x:c r="C46" s="19" t="str">
        <x:v>O-5</x:v>
      </x:c>
      <x:c r="D46" s="19" t="str">
        <x:v>O-5 over 16</x:v>
      </x:c>
      <x:c r="E46" s="69" t="n">
        <x:v>0</x:v>
      </x:c>
      <x:c r="F46" s="79" t="n">
        <x:v>6776.4</x:v>
      </x:c>
      <x:c r="G46" s="80" t="n">
        <x:f>F46*'Assumptions &amp; Sources'!$B$7</x:f>
        <x:v>81316.79999999999</x:v>
      </x:c>
      <x:c r="H46" s="79" t="n">
        <x:v>1280</x:v>
      </x:c>
      <x:c r="I46" s="80" t="n">
        <x:f>H46*'Assumptions &amp; Sources'!$B$7</x:f>
        <x:v>15360</x:v>
      </x:c>
      <x:c r="J46" s="79" t="n">
        <x:v>192.74</x:v>
      </x:c>
      <x:c r="K46" s="80" t="n">
        <x:f>J46*'Assumptions &amp; Sources'!$B$7</x:f>
        <x:v>2312.88</x:v>
      </x:c>
      <x:c r="L46" s="80" t="n">
        <x:f>I46+K46</x:f>
        <x:v>17672.88</x:v>
      </x:c>
      <x:c r="M46" s="80" t="n">
        <x:f>G46+I46+K46</x:f>
        <x:v>98989.68</x:v>
      </x:c>
      <x:c r="N46" s="80" t="n">
        <x:f>L46*'Dashboard'!$K$4/(1-'Dashboard'!$K$4)</x:f>
        <x:v>4984.658461538462</x:v>
      </x:c>
      <x:c r="O46" s="80" t="n">
        <x:f>M46+N46</x:f>
        <x:v>103974.33846153846</x:v>
      </x:c>
      <x:c r="P46" s="30" t="str">
        <x:v>OGDEN/HILL AFB, UT (UT291)</x:v>
      </x:c>
      <x:c r="Q46" s="30" t="str">
        <x:v>Year=2007; ZIP=84056; Pay grade=O-5; Dependents=With dependents</x:v>
      </x:c>
      <x:c r="R46" s="76" t="str">
        <x:v>https://www.dfas.mil/Portals/98/MilPayTable2007.pdf</x:v>
      </x:c>
      <x:c r="S46" s="76" t="str">
        <x:v>https://www.travel.dod.mil/Allowances/Basic-Allowance-for-Housing/BAH-Rate-Lookup/</x:v>
      </x:c>
      <x:c r="T46" s="76" t="str">
        <x:v>https://www.dfas.mil/Portals/98/MilPayTable2007.pdf</x:v>
      </x:c>
    </x:row>
    <x:row r="47">
      <x:c r="A47" s="19" t="n">
        <x:v>2007</x:v>
      </x:c>
      <x:c r="B47" s="19" t="str">
        <x:v>Actual</x:v>
      </x:c>
      <x:c r="C47" s="19" t="str">
        <x:v>O-6</x:v>
      </x:c>
      <x:c r="D47" s="19" t="str">
        <x:v>O-6 over 22</x:v>
      </x:c>
      <x:c r="E47" s="69" t="n">
        <x:v>0</x:v>
      </x:c>
      <x:c r="F47" s="79" t="n">
        <x:v>8395.2</x:v>
      </x:c>
      <x:c r="G47" s="80" t="n">
        <x:f>F47*'Assumptions &amp; Sources'!$B$7</x:f>
        <x:v>100742.40000000001</x:v>
      </x:c>
      <x:c r="H47" s="79" t="n">
        <x:v>1291</x:v>
      </x:c>
      <x:c r="I47" s="80" t="n">
        <x:f>H47*'Assumptions &amp; Sources'!$B$7</x:f>
        <x:v>15492</x:v>
      </x:c>
      <x:c r="J47" s="79" t="n">
        <x:v>192.74</x:v>
      </x:c>
      <x:c r="K47" s="80" t="n">
        <x:f>J47*'Assumptions &amp; Sources'!$B$7</x:f>
        <x:v>2312.88</x:v>
      </x:c>
      <x:c r="L47" s="80" t="n">
        <x:f>I47+K47</x:f>
        <x:v>17804.88</x:v>
      </x:c>
      <x:c r="M47" s="80" t="n">
        <x:f>G47+I47+K47</x:f>
        <x:v>118547.28000000001</x:v>
      </x:c>
      <x:c r="N47" s="80" t="n">
        <x:f>L47*'Dashboard'!$K$4/(1-'Dashboard'!$K$4)</x:f>
        <x:v>5021.88923076923</x:v>
      </x:c>
      <x:c r="O47" s="80" t="n">
        <x:f>M47+N47</x:f>
        <x:v>123569.16923076924</x:v>
      </x:c>
      <x:c r="P47" s="30" t="str">
        <x:v>OGDEN/HILL AFB, UT (UT291)</x:v>
      </x:c>
      <x:c r="Q47" s="30" t="str">
        <x:v>Year=2007; ZIP=84056; Pay grade=O-6; Dependents=With dependents</x:v>
      </x:c>
      <x:c r="R47" s="76" t="str">
        <x:v>https://www.dfas.mil/Portals/98/MilPayTable2007.pdf</x:v>
      </x:c>
      <x:c r="S47" s="76" t="str">
        <x:v>https://www.travel.dod.mil/Allowances/Basic-Allowance-for-Housing/BAH-Rate-Lookup/</x:v>
      </x:c>
      <x:c r="T47" s="76" t="str">
        <x:v>https://www.dfas.mil/Portals/98/MilPayTable2007.pdf</x:v>
      </x:c>
    </x:row>
    <x:row r="48">
      <x:c r="A48" s="19" t="n">
        <x:v>2008</x:v>
      </x:c>
      <x:c r="B48" s="19" t="str">
        <x:v>Actual</x:v>
      </x:c>
      <x:c r="C48" s="19" t="str">
        <x:v>O-1</x:v>
      </x:c>
      <x:c r="D48" s="19" t="str">
        <x:v>O-1 under 2</x:v>
      </x:c>
      <x:c r="E48" s="69" t="n">
        <x:v>0</x:v>
      </x:c>
      <x:c r="F48" s="79" t="n">
        <x:v>2555.7</x:v>
      </x:c>
      <x:c r="G48" s="80" t="n">
        <x:f>F48*'Assumptions &amp; Sources'!$B$7</x:f>
        <x:v>30668.399999999998</x:v>
      </x:c>
      <x:c r="H48" s="79" t="n">
        <x:v>939</x:v>
      </x:c>
      <x:c r="I48" s="80" t="n">
        <x:f>H48*'Assumptions &amp; Sources'!$B$7</x:f>
        <x:v>11268</x:v>
      </x:c>
      <x:c r="J48" s="79" t="n">
        <x:v>192.74</x:v>
      </x:c>
      <x:c r="K48" s="80" t="n">
        <x:f>J48*'Assumptions &amp; Sources'!$B$7</x:f>
        <x:v>2312.88</x:v>
      </x:c>
      <x:c r="L48" s="80" t="n">
        <x:f>I48+K48</x:f>
        <x:v>13580.880000000001</x:v>
      </x:c>
      <x:c r="M48" s="80" t="n">
        <x:f>G48+I48+K48</x:f>
        <x:v>44249.27999999999</x:v>
      </x:c>
      <x:c r="N48" s="80" t="n">
        <x:f>L48*'Dashboard'!$K$4/(1-'Dashboard'!$K$4)</x:f>
        <x:v>3830.5046153846156</x:v>
      </x:c>
      <x:c r="O48" s="80" t="n">
        <x:f>M48+N48</x:f>
        <x:v>48079.784615384604</x:v>
      </x:c>
      <x:c r="P48" s="30" t="str">
        <x:v>OGDEN/HILL AFB, UT (UT291)</x:v>
      </x:c>
      <x:c r="Q48" s="30" t="str">
        <x:v>Year=2008; ZIP=84056; Pay grade=O-1; Dependents=With dependents</x:v>
      </x:c>
      <x:c r="R48" s="76" t="str">
        <x:v>https://www.dfas.mil/Portals/98/MilPayTable2008.pdf</x:v>
      </x:c>
      <x:c r="S48" s="76" t="str">
        <x:v>https://www.travel.dod.mil/Allowances/Basic-Allowance-for-Housing/BAH-Rate-Lookup/</x:v>
      </x:c>
      <x:c r="T48" s="76" t="str">
        <x:v>https://www.dfas.mil/Portals/98/MilPayTable2008.pdf</x:v>
      </x:c>
    </x:row>
    <x:row r="49">
      <x:c r="A49" s="19" t="n">
        <x:v>2008</x:v>
      </x:c>
      <x:c r="B49" s="19" t="str">
        <x:v>Actual</x:v>
      </x:c>
      <x:c r="C49" s="19" t="str">
        <x:v>O-2</x:v>
      </x:c>
      <x:c r="D49" s="19" t="str">
        <x:v>O-2 over 2</x:v>
      </x:c>
      <x:c r="E49" s="69" t="n">
        <x:v>0</x:v>
      </x:c>
      <x:c r="F49" s="79" t="n">
        <x:v>3353.1</x:v>
      </x:c>
      <x:c r="G49" s="80" t="n">
        <x:f>F49*'Assumptions &amp; Sources'!$B$7</x:f>
        <x:v>40237.2</x:v>
      </x:c>
      <x:c r="H49" s="79" t="n">
        <x:v>1012</x:v>
      </x:c>
      <x:c r="I49" s="80" t="n">
        <x:f>H49*'Assumptions &amp; Sources'!$B$7</x:f>
        <x:v>12144</x:v>
      </x:c>
      <x:c r="J49" s="79" t="n">
        <x:v>192.74</x:v>
      </x:c>
      <x:c r="K49" s="80" t="n">
        <x:f>J49*'Assumptions &amp; Sources'!$B$7</x:f>
        <x:v>2312.88</x:v>
      </x:c>
      <x:c r="L49" s="80" t="n">
        <x:f>I49+K49</x:f>
        <x:v>14456.880000000001</x:v>
      </x:c>
      <x:c r="M49" s="80" t="n">
        <x:f>G49+I49+K49</x:f>
        <x:v>54694.079999999994</x:v>
      </x:c>
      <x:c r="N49" s="80" t="n">
        <x:f>L49*'Dashboard'!$K$4/(1-'Dashboard'!$K$4)</x:f>
        <x:v>4077.5815384615385</x:v>
      </x:c>
      <x:c r="O49" s="80" t="n">
        <x:f>M49+N49</x:f>
        <x:v>58771.661538461536</x:v>
      </x:c>
      <x:c r="P49" s="30" t="str">
        <x:v>OGDEN/HILL AFB, UT (UT291)</x:v>
      </x:c>
      <x:c r="Q49" s="30" t="str">
        <x:v>Year=2008; ZIP=84056; Pay grade=O-2; Dependents=With dependents</x:v>
      </x:c>
      <x:c r="R49" s="76" t="str">
        <x:v>https://www.dfas.mil/Portals/98/MilPayTable2008.pdf</x:v>
      </x:c>
      <x:c r="S49" s="76" t="str">
        <x:v>https://www.travel.dod.mil/Allowances/Basic-Allowance-for-Housing/BAH-Rate-Lookup/</x:v>
      </x:c>
      <x:c r="T49" s="76" t="str">
        <x:v>https://www.dfas.mil/Portals/98/MilPayTable2008.pdf</x:v>
      </x:c>
    </x:row>
    <x:row r="50">
      <x:c r="A50" s="19" t="n">
        <x:v>2008</x:v>
      </x:c>
      <x:c r="B50" s="19" t="str">
        <x:v>Actual</x:v>
      </x:c>
      <x:c r="C50" s="19" t="str">
        <x:v>O-3</x:v>
      </x:c>
      <x:c r="D50" s="19" t="str">
        <x:v>O-3 over 6</x:v>
      </x:c>
      <x:c r="E50" s="69" t="n">
        <x:v>0</x:v>
      </x:c>
      <x:c r="F50" s="79" t="n">
        <x:v>4763.1</x:v>
      </x:c>
      <x:c r="G50" s="80" t="n">
        <x:f>F50*'Assumptions &amp; Sources'!$B$7</x:f>
        <x:v>57157.200000000004</x:v>
      </x:c>
      <x:c r="H50" s="79" t="n">
        <x:v>1231</x:v>
      </x:c>
      <x:c r="I50" s="80" t="n">
        <x:f>H50*'Assumptions &amp; Sources'!$B$7</x:f>
        <x:v>14772</x:v>
      </x:c>
      <x:c r="J50" s="79" t="n">
        <x:v>192.74</x:v>
      </x:c>
      <x:c r="K50" s="80" t="n">
        <x:f>J50*'Assumptions &amp; Sources'!$B$7</x:f>
        <x:v>2312.88</x:v>
      </x:c>
      <x:c r="L50" s="80" t="n">
        <x:f>I50+K50</x:f>
        <x:v>17084.88</x:v>
      </x:c>
      <x:c r="M50" s="80" t="n">
        <x:f>G50+I50+K50</x:f>
        <x:v>74242.08000000002</x:v>
      </x:c>
      <x:c r="N50" s="80" t="n">
        <x:f>L50*'Dashboard'!$K$4/(1-'Dashboard'!$K$4)</x:f>
        <x:v>4818.8123076923075</x:v>
      </x:c>
      <x:c r="O50" s="80" t="n">
        <x:f>M50+N50</x:f>
        <x:v>79060.89230769232</x:v>
      </x:c>
      <x:c r="P50" s="30" t="str">
        <x:v>OGDEN/HILL AFB, UT (UT291)</x:v>
      </x:c>
      <x:c r="Q50" s="30" t="str">
        <x:v>Year=2008; ZIP=84056; Pay grade=O-3; Dependents=With dependents</x:v>
      </x:c>
      <x:c r="R50" s="76" t="str">
        <x:v>https://www.dfas.mil/Portals/98/MilPayTable2008.pdf</x:v>
      </x:c>
      <x:c r="S50" s="76" t="str">
        <x:v>https://www.travel.dod.mil/Allowances/Basic-Allowance-for-Housing/BAH-Rate-Lookup/</x:v>
      </x:c>
      <x:c r="T50" s="76" t="str">
        <x:v>https://www.dfas.mil/Portals/98/MilPayTable2008.pdf</x:v>
      </x:c>
    </x:row>
    <x:row r="51">
      <x:c r="A51" s="19" t="n">
        <x:v>2008</x:v>
      </x:c>
      <x:c r="B51" s="19" t="str">
        <x:v>Actual</x:v>
      </x:c>
      <x:c r="C51" s="19" t="str">
        <x:v>O-4</x:v>
      </x:c>
      <x:c r="D51" s="19" t="str">
        <x:v>O-4 over 10</x:v>
      </x:c>
      <x:c r="E51" s="69" t="n">
        <x:v>0</x:v>
      </x:c>
      <x:c r="F51" s="79" t="n">
        <x:v>5799</x:v>
      </x:c>
      <x:c r="G51" s="80" t="n">
        <x:f>F51*'Assumptions &amp; Sources'!$B$7</x:f>
        <x:v>69588</x:v>
      </x:c>
      <x:c r="H51" s="79" t="n">
        <x:v>1301</x:v>
      </x:c>
      <x:c r="I51" s="80" t="n">
        <x:f>H51*'Assumptions &amp; Sources'!$B$7</x:f>
        <x:v>15612</x:v>
      </x:c>
      <x:c r="J51" s="79" t="n">
        <x:v>192.74</x:v>
      </x:c>
      <x:c r="K51" s="80" t="n">
        <x:f>J51*'Assumptions &amp; Sources'!$B$7</x:f>
        <x:v>2312.88</x:v>
      </x:c>
      <x:c r="L51" s="80" t="n">
        <x:f>I51+K51</x:f>
        <x:v>17924.88</x:v>
      </x:c>
      <x:c r="M51" s="80" t="n">
        <x:f>G51+I51+K51</x:f>
        <x:v>87512.88</x:v>
      </x:c>
      <x:c r="N51" s="80" t="n">
        <x:f>L51*'Dashboard'!$K$4/(1-'Dashboard'!$K$4)</x:f>
        <x:v>5055.735384615385</x:v>
      </x:c>
      <x:c r="O51" s="80" t="n">
        <x:f>M51+N51</x:f>
        <x:v>92568.61538461539</x:v>
      </x:c>
      <x:c r="P51" s="30" t="str">
        <x:v>OGDEN/HILL AFB, UT (UT291)</x:v>
      </x:c>
      <x:c r="Q51" s="30" t="str">
        <x:v>Year=2008; ZIP=84056; Pay grade=O-4; Dependents=With dependents</x:v>
      </x:c>
      <x:c r="R51" s="76" t="str">
        <x:v>https://www.dfas.mil/Portals/98/MilPayTable2008.pdf</x:v>
      </x:c>
      <x:c r="S51" s="76" t="str">
        <x:v>https://www.travel.dod.mil/Allowances/Basic-Allowance-for-Housing/BAH-Rate-Lookup/</x:v>
      </x:c>
      <x:c r="T51" s="76" t="str">
        <x:v>https://www.dfas.mil/Portals/98/MilPayTable2008.pdf</x:v>
      </x:c>
    </x:row>
    <x:row r="52">
      <x:c r="A52" s="19" t="n">
        <x:v>2008</x:v>
      </x:c>
      <x:c r="B52" s="19" t="str">
        <x:v>Actual</x:v>
      </x:c>
      <x:c r="C52" s="19" t="str">
        <x:v>O-5</x:v>
      </x:c>
      <x:c r="D52" s="19" t="str">
        <x:v>O-5 over 16</x:v>
      </x:c>
      <x:c r="E52" s="69" t="n">
        <x:v>0</x:v>
      </x:c>
      <x:c r="F52" s="79" t="n">
        <x:v>7013.7</x:v>
      </x:c>
      <x:c r="G52" s="80" t="n">
        <x:f>F52*'Assumptions &amp; Sources'!$B$7</x:f>
        <x:v>84164.4</x:v>
      </x:c>
      <x:c r="H52" s="79" t="n">
        <x:v>1348</x:v>
      </x:c>
      <x:c r="I52" s="80" t="n">
        <x:f>H52*'Assumptions &amp; Sources'!$B$7</x:f>
        <x:v>16176</x:v>
      </x:c>
      <x:c r="J52" s="79" t="n">
        <x:v>192.74</x:v>
      </x:c>
      <x:c r="K52" s="80" t="n">
        <x:f>J52*'Assumptions &amp; Sources'!$B$7</x:f>
        <x:v>2312.88</x:v>
      </x:c>
      <x:c r="L52" s="80" t="n">
        <x:f>I52+K52</x:f>
        <x:v>18488.88</x:v>
      </x:c>
      <x:c r="M52" s="80" t="n">
        <x:f>G52+I52+K52</x:f>
        <x:v>102653.28</x:v>
      </x:c>
      <x:c r="N52" s="80" t="n">
        <x:f>L52*'Dashboard'!$K$4/(1-'Dashboard'!$K$4)</x:f>
        <x:v>5214.8123076923075</x:v>
      </x:c>
      <x:c r="O52" s="80" t="n">
        <x:f>M52+N52</x:f>
        <x:v>107868.0923076923</x:v>
      </x:c>
      <x:c r="P52" s="30" t="str">
        <x:v>OGDEN/HILL AFB, UT (UT291)</x:v>
      </x:c>
      <x:c r="Q52" s="30" t="str">
        <x:v>Year=2008; ZIP=84056; Pay grade=O-5; Dependents=With dependents</x:v>
      </x:c>
      <x:c r="R52" s="76" t="str">
        <x:v>https://www.dfas.mil/Portals/98/MilPayTable2008.pdf</x:v>
      </x:c>
      <x:c r="S52" s="76" t="str">
        <x:v>https://www.travel.dod.mil/Allowances/Basic-Allowance-for-Housing/BAH-Rate-Lookup/</x:v>
      </x:c>
      <x:c r="T52" s="76" t="str">
        <x:v>https://www.dfas.mil/Portals/98/MilPayTable2008.pdf</x:v>
      </x:c>
    </x:row>
    <x:row r="53">
      <x:c r="A53" s="19" t="n">
        <x:v>2008</x:v>
      </x:c>
      <x:c r="B53" s="19" t="str">
        <x:v>Actual</x:v>
      </x:c>
      <x:c r="C53" s="19" t="str">
        <x:v>O-6</x:v>
      </x:c>
      <x:c r="D53" s="19" t="str">
        <x:v>O-6 over 22</x:v>
      </x:c>
      <x:c r="E53" s="69" t="n">
        <x:v>0</x:v>
      </x:c>
      <x:c r="F53" s="79" t="n">
        <x:v>8688.9</x:v>
      </x:c>
      <x:c r="G53" s="80" t="n">
        <x:f>F53*'Assumptions &amp; Sources'!$B$7</x:f>
        <x:v>104266.79999999999</x:v>
      </x:c>
      <x:c r="H53" s="79" t="n">
        <x:v>1359</x:v>
      </x:c>
      <x:c r="I53" s="80" t="n">
        <x:f>H53*'Assumptions &amp; Sources'!$B$7</x:f>
        <x:v>16308</x:v>
      </x:c>
      <x:c r="J53" s="79" t="n">
        <x:v>192.74</x:v>
      </x:c>
      <x:c r="K53" s="80" t="n">
        <x:f>J53*'Assumptions &amp; Sources'!$B$7</x:f>
        <x:v>2312.88</x:v>
      </x:c>
      <x:c r="L53" s="80" t="n">
        <x:f>I53+K53</x:f>
        <x:v>18620.88</x:v>
      </x:c>
      <x:c r="M53" s="80" t="n">
        <x:f>G53+I53+K53</x:f>
        <x:v>122887.68</x:v>
      </x:c>
      <x:c r="N53" s="80" t="n">
        <x:f>L53*'Dashboard'!$K$4/(1-'Dashboard'!$K$4)</x:f>
        <x:v>5252.043076923077</x:v>
      </x:c>
      <x:c r="O53" s="80" t="n">
        <x:f>M53+N53</x:f>
        <x:v>128139.72307692307</x:v>
      </x:c>
      <x:c r="P53" s="30" t="str">
        <x:v>OGDEN/HILL AFB, UT (UT291)</x:v>
      </x:c>
      <x:c r="Q53" s="30" t="str">
        <x:v>Year=2008; ZIP=84056; Pay grade=O-6; Dependents=With dependents</x:v>
      </x:c>
      <x:c r="R53" s="76" t="str">
        <x:v>https://www.dfas.mil/Portals/98/MilPayTable2008.pdf</x:v>
      </x:c>
      <x:c r="S53" s="76" t="str">
        <x:v>https://www.travel.dod.mil/Allowances/Basic-Allowance-for-Housing/BAH-Rate-Lookup/</x:v>
      </x:c>
      <x:c r="T53" s="76" t="str">
        <x:v>https://www.dfas.mil/Portals/98/MilPayTable2008.pdf</x:v>
      </x:c>
    </x:row>
    <x:row r="54">
      <x:c r="A54" s="19" t="n">
        <x:v>2009</x:v>
      </x:c>
      <x:c r="B54" s="19" t="str">
        <x:v>Actual</x:v>
      </x:c>
      <x:c r="C54" s="19" t="str">
        <x:v>O-1</x:v>
      </x:c>
      <x:c r="D54" s="19" t="str">
        <x:v>O-1 under 2</x:v>
      </x:c>
      <x:c r="E54" s="69" t="n">
        <x:v>0</x:v>
      </x:c>
      <x:c r="F54" s="79" t="n">
        <x:v>2655.3</x:v>
      </x:c>
      <x:c r="G54" s="80" t="n">
        <x:f>F54*'Assumptions &amp; Sources'!$B$7</x:f>
        <x:v>31863.600000000002</x:v>
      </x:c>
      <x:c r="H54" s="79" t="n">
        <x:v>1015</x:v>
      </x:c>
      <x:c r="I54" s="80" t="n">
        <x:f>H54*'Assumptions &amp; Sources'!$B$7</x:f>
        <x:v>12180</x:v>
      </x:c>
      <x:c r="J54" s="79" t="n">
        <x:v>223.04</x:v>
      </x:c>
      <x:c r="K54" s="80" t="n">
        <x:f>J54*'Assumptions &amp; Sources'!$B$7</x:f>
        <x:v>2676.48</x:v>
      </x:c>
      <x:c r="L54" s="80" t="n">
        <x:f>I54+K54</x:f>
        <x:v>14856.48</x:v>
      </x:c>
      <x:c r="M54" s="80" t="n">
        <x:f>G54+I54+K54</x:f>
        <x:v>46720.08000000001</x:v>
      </x:c>
      <x:c r="N54" s="80" t="n">
        <x:f>L54*'Dashboard'!$K$4/(1-'Dashboard'!$K$4)</x:f>
        <x:v>4190.289230769231</x:v>
      </x:c>
      <x:c r="O54" s="80" t="n">
        <x:f>M54+N54</x:f>
        <x:v>50910.36923076924</x:v>
      </x:c>
      <x:c r="P54" s="30" t="str">
        <x:v>OGDEN/HILL AFB, UT (UT291)</x:v>
      </x:c>
      <x:c r="Q54" s="30" t="str">
        <x:v>Year=2009; ZIP=84056; Pay grade=O-1; Dependents=With dependents</x:v>
      </x:c>
      <x:c r="R54" s="76" t="str">
        <x:v>https://www.dfas.mil/Portals/98/MilPayTable2009.pdf</x:v>
      </x:c>
      <x:c r="S54" s="76" t="str">
        <x:v>https://www.travel.dod.mil/Allowances/Basic-Allowance-for-Housing/BAH-Rate-Lookup/</x:v>
      </x:c>
      <x:c r="T54" s="76" t="str">
        <x:v>https://www.dfas.mil/Portals/98/MilPayTable2009.pdf</x:v>
      </x:c>
    </x:row>
    <x:row r="55">
      <x:c r="A55" s="19" t="n">
        <x:v>2009</x:v>
      </x:c>
      <x:c r="B55" s="19" t="str">
        <x:v>Actual</x:v>
      </x:c>
      <x:c r="C55" s="19" t="str">
        <x:v>O-2</x:v>
      </x:c>
      <x:c r="D55" s="19" t="str">
        <x:v>O-2 over 2</x:v>
      </x:c>
      <x:c r="E55" s="69" t="n">
        <x:v>0</x:v>
      </x:c>
      <x:c r="F55" s="79" t="n">
        <x:v>3483.9</x:v>
      </x:c>
      <x:c r="G55" s="80" t="n">
        <x:f>F55*'Assumptions &amp; Sources'!$B$7</x:f>
        <x:v>41806.8</x:v>
      </x:c>
      <x:c r="H55" s="79" t="n">
        <x:v>1204</x:v>
      </x:c>
      <x:c r="I55" s="80" t="n">
        <x:f>H55*'Assumptions &amp; Sources'!$B$7</x:f>
        <x:v>14448</x:v>
      </x:c>
      <x:c r="J55" s="79" t="n">
        <x:v>223.04</x:v>
      </x:c>
      <x:c r="K55" s="80" t="n">
        <x:f>J55*'Assumptions &amp; Sources'!$B$7</x:f>
        <x:v>2676.48</x:v>
      </x:c>
      <x:c r="L55" s="80" t="n">
        <x:f>I55+K55</x:f>
        <x:v>17124.48</x:v>
      </x:c>
      <x:c r="M55" s="80" t="n">
        <x:f>G55+I55+K55</x:f>
        <x:v>58931.280000000006</x:v>
      </x:c>
      <x:c r="N55" s="80" t="n">
        <x:f>L55*'Dashboard'!$K$4/(1-'Dashboard'!$K$4)</x:f>
        <x:v>4829.981538461539</x:v>
      </x:c>
      <x:c r="O55" s="80" t="n">
        <x:f>M55+N55</x:f>
        <x:v>63761.26153846154</x:v>
      </x:c>
      <x:c r="P55" s="30" t="str">
        <x:v>OGDEN/HILL AFB, UT (UT291)</x:v>
      </x:c>
      <x:c r="Q55" s="30" t="str">
        <x:v>Year=2009; ZIP=84056; Pay grade=O-2; Dependents=With dependents</x:v>
      </x:c>
      <x:c r="R55" s="76" t="str">
        <x:v>https://www.dfas.mil/Portals/98/MilPayTable2009.pdf</x:v>
      </x:c>
      <x:c r="S55" s="76" t="str">
        <x:v>https://www.travel.dod.mil/Allowances/Basic-Allowance-for-Housing/BAH-Rate-Lookup/</x:v>
      </x:c>
      <x:c r="T55" s="76" t="str">
        <x:v>https://www.dfas.mil/Portals/98/MilPayTable2009.pdf</x:v>
      </x:c>
    </x:row>
    <x:row r="56">
      <x:c r="A56" s="19" t="n">
        <x:v>2009</x:v>
      </x:c>
      <x:c r="B56" s="19" t="str">
        <x:v>Actual</x:v>
      </x:c>
      <x:c r="C56" s="19" t="str">
        <x:v>O-3</x:v>
      </x:c>
      <x:c r="D56" s="19" t="str">
        <x:v>O-3 over 6</x:v>
      </x:c>
      <x:c r="E56" s="69" t="n">
        <x:v>0</x:v>
      </x:c>
      <x:c r="F56" s="79" t="n">
        <x:v>4948.8</x:v>
      </x:c>
      <x:c r="G56" s="80" t="n">
        <x:f>F56*'Assumptions &amp; Sources'!$B$7</x:f>
        <x:v>59385.600000000006</x:v>
      </x:c>
      <x:c r="H56" s="79" t="n">
        <x:v>1382</x:v>
      </x:c>
      <x:c r="I56" s="80" t="n">
        <x:f>H56*'Assumptions &amp; Sources'!$B$7</x:f>
        <x:v>16584</x:v>
      </x:c>
      <x:c r="J56" s="79" t="n">
        <x:v>223.04</x:v>
      </x:c>
      <x:c r="K56" s="80" t="n">
        <x:f>J56*'Assumptions &amp; Sources'!$B$7</x:f>
        <x:v>2676.48</x:v>
      </x:c>
      <x:c r="L56" s="80" t="n">
        <x:f>I56+K56</x:f>
        <x:v>19260.48</x:v>
      </x:c>
      <x:c r="M56" s="80" t="n">
        <x:f>G56+I56+K56</x:f>
        <x:v>78646.08</x:v>
      </x:c>
      <x:c r="N56" s="80" t="n">
        <x:f>L56*'Dashboard'!$K$4/(1-'Dashboard'!$K$4)</x:f>
        <x:v>5432.443076923077</x:v>
      </x:c>
      <x:c r="O56" s="80" t="n">
        <x:f>M56+N56</x:f>
        <x:v>84078.52307692308</x:v>
      </x:c>
      <x:c r="P56" s="30" t="str">
        <x:v>OGDEN/HILL AFB, UT (UT291)</x:v>
      </x:c>
      <x:c r="Q56" s="30" t="str">
        <x:v>Year=2009; ZIP=84056; Pay grade=O-3; Dependents=With dependents</x:v>
      </x:c>
      <x:c r="R56" s="76" t="str">
        <x:v>https://www.dfas.mil/Portals/98/MilPayTable2009.pdf</x:v>
      </x:c>
      <x:c r="S56" s="76" t="str">
        <x:v>https://www.travel.dod.mil/Allowances/Basic-Allowance-for-Housing/BAH-Rate-Lookup/</x:v>
      </x:c>
      <x:c r="T56" s="76" t="str">
        <x:v>https://www.dfas.mil/Portals/98/MilPayTable2009.pdf</x:v>
      </x:c>
    </x:row>
    <x:row r="57">
      <x:c r="A57" s="19" t="n">
        <x:v>2009</x:v>
      </x:c>
      <x:c r="B57" s="19" t="str">
        <x:v>Actual</x:v>
      </x:c>
      <x:c r="C57" s="19" t="str">
        <x:v>O-4</x:v>
      </x:c>
      <x:c r="D57" s="19" t="str">
        <x:v>O-4 over 10</x:v>
      </x:c>
      <x:c r="E57" s="69" t="n">
        <x:v>0</x:v>
      </x:c>
      <x:c r="F57" s="79" t="n">
        <x:v>6025.2</x:v>
      </x:c>
      <x:c r="G57" s="80" t="n">
        <x:f>F57*'Assumptions &amp; Sources'!$B$7</x:f>
        <x:v>72302.4</x:v>
      </x:c>
      <x:c r="H57" s="79" t="n">
        <x:v>1510</x:v>
      </x:c>
      <x:c r="I57" s="80" t="n">
        <x:f>H57*'Assumptions &amp; Sources'!$B$7</x:f>
        <x:v>18120</x:v>
      </x:c>
      <x:c r="J57" s="79" t="n">
        <x:v>223.04</x:v>
      </x:c>
      <x:c r="K57" s="80" t="n">
        <x:f>J57*'Assumptions &amp; Sources'!$B$7</x:f>
        <x:v>2676.48</x:v>
      </x:c>
      <x:c r="L57" s="80" t="n">
        <x:f>I57+K57</x:f>
        <x:v>20796.48</x:v>
      </x:c>
      <x:c r="M57" s="80" t="n">
        <x:f>G57+I57+K57</x:f>
        <x:v>93098.87999999999</x:v>
      </x:c>
      <x:c r="N57" s="80" t="n">
        <x:f>L57*'Dashboard'!$K$4/(1-'Dashboard'!$K$4)</x:f>
        <x:v>5865.673846153845</x:v>
      </x:c>
      <x:c r="O57" s="80" t="n">
        <x:f>M57+N57</x:f>
        <x:v>98964.55384615384</x:v>
      </x:c>
      <x:c r="P57" s="30" t="str">
        <x:v>OGDEN/HILL AFB, UT (UT291)</x:v>
      </x:c>
      <x:c r="Q57" s="30" t="str">
        <x:v>Year=2009; ZIP=84056; Pay grade=O-4; Dependents=With dependents</x:v>
      </x:c>
      <x:c r="R57" s="76" t="str">
        <x:v>https://www.dfas.mil/Portals/98/MilPayTable2009.pdf</x:v>
      </x:c>
      <x:c r="S57" s="76" t="str">
        <x:v>https://www.travel.dod.mil/Allowances/Basic-Allowance-for-Housing/BAH-Rate-Lookup/</x:v>
      </x:c>
      <x:c r="T57" s="76" t="str">
        <x:v>https://www.dfas.mil/Portals/98/MilPayTable2009.pdf</x:v>
      </x:c>
    </x:row>
    <x:row r="58">
      <x:c r="A58" s="19" t="n">
        <x:v>2009</x:v>
      </x:c>
      <x:c r="B58" s="19" t="str">
        <x:v>Actual</x:v>
      </x:c>
      <x:c r="C58" s="19" t="str">
        <x:v>O-5</x:v>
      </x:c>
      <x:c r="D58" s="19" t="str">
        <x:v>O-5 over 16</x:v>
      </x:c>
      <x:c r="E58" s="69" t="n">
        <x:v>0</x:v>
      </x:c>
      <x:c r="F58" s="79" t="n">
        <x:v>7287.3</x:v>
      </x:c>
      <x:c r="G58" s="80" t="n">
        <x:f>F58*'Assumptions &amp; Sources'!$B$7</x:f>
        <x:v>87447.6</x:v>
      </x:c>
      <x:c r="H58" s="79" t="n">
        <x:v>1599</x:v>
      </x:c>
      <x:c r="I58" s="80" t="n">
        <x:f>H58*'Assumptions &amp; Sources'!$B$7</x:f>
        <x:v>19188</x:v>
      </x:c>
      <x:c r="J58" s="79" t="n">
        <x:v>223.04</x:v>
      </x:c>
      <x:c r="K58" s="80" t="n">
        <x:f>J58*'Assumptions &amp; Sources'!$B$7</x:f>
        <x:v>2676.48</x:v>
      </x:c>
      <x:c r="L58" s="80" t="n">
        <x:f>I58+K58</x:f>
        <x:v>21864.48</x:v>
      </x:c>
      <x:c r="M58" s="80" t="n">
        <x:f>G58+I58+K58</x:f>
        <x:v>109312.08</x:v>
      </x:c>
      <x:c r="N58" s="80" t="n">
        <x:f>L58*'Dashboard'!$K$4/(1-'Dashboard'!$K$4)</x:f>
        <x:v>6166.904615384615</x:v>
      </x:c>
      <x:c r="O58" s="80" t="n">
        <x:f>M58+N58</x:f>
        <x:v>115478.98461538462</x:v>
      </x:c>
      <x:c r="P58" s="30" t="str">
        <x:v>OGDEN/HILL AFB, UT (UT291)</x:v>
      </x:c>
      <x:c r="Q58" s="30" t="str">
        <x:v>Year=2009; ZIP=84056; Pay grade=O-5; Dependents=With dependents</x:v>
      </x:c>
      <x:c r="R58" s="76" t="str">
        <x:v>https://www.dfas.mil/Portals/98/MilPayTable2009.pdf</x:v>
      </x:c>
      <x:c r="S58" s="76" t="str">
        <x:v>https://www.travel.dod.mil/Allowances/Basic-Allowance-for-Housing/BAH-Rate-Lookup/</x:v>
      </x:c>
      <x:c r="T58" s="76" t="str">
        <x:v>https://www.dfas.mil/Portals/98/MilPayTable2009.pdf</x:v>
      </x:c>
    </x:row>
    <x:row r="59">
      <x:c r="A59" s="19" t="n">
        <x:v>2009</x:v>
      </x:c>
      <x:c r="B59" s="19" t="str">
        <x:v>Actual</x:v>
      </x:c>
      <x:c r="C59" s="19" t="str">
        <x:v>O-6</x:v>
      </x:c>
      <x:c r="D59" s="19" t="str">
        <x:v>O-6 over 22</x:v>
      </x:c>
      <x:c r="E59" s="69" t="n">
        <x:v>0</x:v>
      </x:c>
      <x:c r="F59" s="79" t="n">
        <x:v>9027.9</x:v>
      </x:c>
      <x:c r="G59" s="80" t="n">
        <x:f>F59*'Assumptions &amp; Sources'!$B$7</x:f>
        <x:v>108334.79999999999</x:v>
      </x:c>
      <x:c r="H59" s="79" t="n">
        <x:v>1612</x:v>
      </x:c>
      <x:c r="I59" s="80" t="n">
        <x:f>H59*'Assumptions &amp; Sources'!$B$7</x:f>
        <x:v>19344</x:v>
      </x:c>
      <x:c r="J59" s="79" t="n">
        <x:v>223.04</x:v>
      </x:c>
      <x:c r="K59" s="80" t="n">
        <x:f>J59*'Assumptions &amp; Sources'!$B$7</x:f>
        <x:v>2676.48</x:v>
      </x:c>
      <x:c r="L59" s="80" t="n">
        <x:f>I59+K59</x:f>
        <x:v>22020.48</x:v>
      </x:c>
      <x:c r="M59" s="80" t="n">
        <x:f>G59+I59+K59</x:f>
        <x:v>130355.27999999998</x:v>
      </x:c>
      <x:c r="N59" s="80" t="n">
        <x:f>L59*'Dashboard'!$K$4/(1-'Dashboard'!$K$4)</x:f>
        <x:v>6210.904615384615</x:v>
      </x:c>
      <x:c r="O59" s="80" t="n">
        <x:f>M59+N59</x:f>
        <x:v>136566.1846153846</x:v>
      </x:c>
      <x:c r="P59" s="30" t="str">
        <x:v>OGDEN/HILL AFB, UT (UT291)</x:v>
      </x:c>
      <x:c r="Q59" s="30" t="str">
        <x:v>Year=2009; ZIP=84056; Pay grade=O-6; Dependents=With dependents</x:v>
      </x:c>
      <x:c r="R59" s="76" t="str">
        <x:v>https://www.dfas.mil/Portals/98/MilPayTable2009.pdf</x:v>
      </x:c>
      <x:c r="S59" s="76" t="str">
        <x:v>https://www.travel.dod.mil/Allowances/Basic-Allowance-for-Housing/BAH-Rate-Lookup/</x:v>
      </x:c>
      <x:c r="T59" s="76" t="str">
        <x:v>https://www.dfas.mil/Portals/98/MilPayTable2009.pdf</x:v>
      </x:c>
    </x:row>
    <x:row r="60">
      <x:c r="A60" s="19" t="n">
        <x:v>2010</x:v>
      </x:c>
      <x:c r="B60" s="19" t="str">
        <x:v>Actual</x:v>
      </x:c>
      <x:c r="C60" s="19" t="str">
        <x:v>O-1</x:v>
      </x:c>
      <x:c r="D60" s="19" t="str">
        <x:v>O-1 under 2</x:v>
      </x:c>
      <x:c r="E60" s="69" t="n">
        <x:v>0</x:v>
      </x:c>
      <x:c r="F60" s="79" t="n">
        <x:v>2745.6</x:v>
      </x:c>
      <x:c r="G60" s="80" t="n">
        <x:f>F60*'Assumptions &amp; Sources'!$B$7</x:f>
        <x:v>32947.2</x:v>
      </x:c>
      <x:c r="H60" s="79" t="n">
        <x:v>990</x:v>
      </x:c>
      <x:c r="I60" s="80" t="n">
        <x:f>H60*'Assumptions &amp; Sources'!$B$7</x:f>
        <x:v>11880</x:v>
      </x:c>
      <x:c r="J60" s="79" t="n">
        <x:v>223.04</x:v>
      </x:c>
      <x:c r="K60" s="80" t="n">
        <x:f>J60*'Assumptions &amp; Sources'!$B$7</x:f>
        <x:v>2676.48</x:v>
      </x:c>
      <x:c r="L60" s="80" t="n">
        <x:f>I60+K60</x:f>
        <x:v>14556.48</x:v>
      </x:c>
      <x:c r="M60" s="80" t="n">
        <x:f>G60+I60+K60</x:f>
        <x:v>47503.68</x:v>
      </x:c>
      <x:c r="N60" s="80" t="n">
        <x:f>L60*'Dashboard'!$K$4/(1-'Dashboard'!$K$4)</x:f>
        <x:v>4105.673846153846</x:v>
      </x:c>
      <x:c r="O60" s="80" t="n">
        <x:f>M60+N60</x:f>
        <x:v>51609.35384615385</x:v>
      </x:c>
      <x:c r="P60" s="30" t="str">
        <x:v>OGDEN/HILL AFB, UT (UT291)</x:v>
      </x:c>
      <x:c r="Q60" s="30" t="str">
        <x:v>Year=2010; ZIP=84056; Pay grade=O-1; Dependents=With dependents</x:v>
      </x:c>
      <x:c r="R60" s="76" t="str">
        <x:v>https://www.dfas.mil/Portals/98/MilPayTable2010.pdf</x:v>
      </x:c>
      <x:c r="S60" s="76" t="str">
        <x:v>https://www.travel.dod.mil/Allowances/Basic-Allowance-for-Housing/BAH-Rate-Lookup/</x:v>
      </x:c>
      <x:c r="T60" s="76" t="str">
        <x:v>https://www.dfas.mil/Portals/98/MilPayTable2010.pdf</x:v>
      </x:c>
    </x:row>
    <x:row r="61">
      <x:c r="A61" s="19" t="n">
        <x:v>2010</x:v>
      </x:c>
      <x:c r="B61" s="19" t="str">
        <x:v>Actual</x:v>
      </x:c>
      <x:c r="C61" s="19" t="str">
        <x:v>O-2</x:v>
      </x:c>
      <x:c r="D61" s="19" t="str">
        <x:v>O-2 over 2</x:v>
      </x:c>
      <x:c r="E61" s="69" t="n">
        <x:v>0</x:v>
      </x:c>
      <x:c r="F61" s="79" t="n">
        <x:v>3602.4</x:v>
      </x:c>
      <x:c r="G61" s="80" t="n">
        <x:f>F61*'Assumptions &amp; Sources'!$B$7</x:f>
        <x:v>43228.8</x:v>
      </x:c>
      <x:c r="H61" s="79" t="n">
        <x:v>1149</x:v>
      </x:c>
      <x:c r="I61" s="80" t="n">
        <x:f>H61*'Assumptions &amp; Sources'!$B$7</x:f>
        <x:v>13788</x:v>
      </x:c>
      <x:c r="J61" s="79" t="n">
        <x:v>223.04</x:v>
      </x:c>
      <x:c r="K61" s="80" t="n">
        <x:f>J61*'Assumptions &amp; Sources'!$B$7</x:f>
        <x:v>2676.48</x:v>
      </x:c>
      <x:c r="L61" s="80" t="n">
        <x:f>I61+K61</x:f>
        <x:v>16464.48</x:v>
      </x:c>
      <x:c r="M61" s="80" t="n">
        <x:f>G61+I61+K61</x:f>
        <x:v>59693.280000000006</x:v>
      </x:c>
      <x:c r="N61" s="80" t="n">
        <x:f>L61*'Dashboard'!$K$4/(1-'Dashboard'!$K$4)</x:f>
        <x:v>4643.827692307692</x:v>
      </x:c>
      <x:c r="O61" s="80" t="n">
        <x:f>M61+N61</x:f>
        <x:v>64337.1076923077</x:v>
      </x:c>
      <x:c r="P61" s="30" t="str">
        <x:v>OGDEN/HILL AFB, UT (UT291)</x:v>
      </x:c>
      <x:c r="Q61" s="30" t="str">
        <x:v>Year=2010; ZIP=84056; Pay grade=O-2; Dependents=With dependents</x:v>
      </x:c>
      <x:c r="R61" s="76" t="str">
        <x:v>https://www.dfas.mil/Portals/98/MilPayTable2010.pdf</x:v>
      </x:c>
      <x:c r="S61" s="76" t="str">
        <x:v>https://www.travel.dod.mil/Allowances/Basic-Allowance-for-Housing/BAH-Rate-Lookup/</x:v>
      </x:c>
      <x:c r="T61" s="76" t="str">
        <x:v>https://www.dfas.mil/Portals/98/MilPayTable2010.pdf</x:v>
      </x:c>
    </x:row>
    <x:row r="62">
      <x:c r="A62" s="19" t="n">
        <x:v>2010</x:v>
      </x:c>
      <x:c r="B62" s="19" t="str">
        <x:v>Actual</x:v>
      </x:c>
      <x:c r="C62" s="19" t="str">
        <x:v>O-3</x:v>
      </x:c>
      <x:c r="D62" s="19" t="str">
        <x:v>O-3 over 6</x:v>
      </x:c>
      <x:c r="E62" s="69" t="n">
        <x:v>0</x:v>
      </x:c>
      <x:c r="F62" s="79" t="n">
        <x:v>5117.1</x:v>
      </x:c>
      <x:c r="G62" s="80" t="n">
        <x:f>F62*'Assumptions &amp; Sources'!$B$7</x:f>
        <x:v>61405.200000000004</x:v>
      </x:c>
      <x:c r="H62" s="79" t="n">
        <x:v>1263</x:v>
      </x:c>
      <x:c r="I62" s="80" t="n">
        <x:f>H62*'Assumptions &amp; Sources'!$B$7</x:f>
        <x:v>15156</x:v>
      </x:c>
      <x:c r="J62" s="79" t="n">
        <x:v>223.04</x:v>
      </x:c>
      <x:c r="K62" s="80" t="n">
        <x:f>J62*'Assumptions &amp; Sources'!$B$7</x:f>
        <x:v>2676.48</x:v>
      </x:c>
      <x:c r="L62" s="80" t="n">
        <x:f>I62+K62</x:f>
        <x:v>17832.48</x:v>
      </x:c>
      <x:c r="M62" s="80" t="n">
        <x:f>G62+I62+K62</x:f>
        <x:v>79237.68000000001</x:v>
      </x:c>
      <x:c r="N62" s="80" t="n">
        <x:f>L62*'Dashboard'!$K$4/(1-'Dashboard'!$K$4)</x:f>
        <x:v>5029.673846153846</x:v>
      </x:c>
      <x:c r="O62" s="80" t="n">
        <x:f>M62+N62</x:f>
        <x:v>84267.35384615386</x:v>
      </x:c>
      <x:c r="P62" s="30" t="str">
        <x:v>OGDEN/HILL AFB, UT (UT291)</x:v>
      </x:c>
      <x:c r="Q62" s="30" t="str">
        <x:v>Year=2010; ZIP=84056; Pay grade=O-3; Dependents=With dependents</x:v>
      </x:c>
      <x:c r="R62" s="76" t="str">
        <x:v>https://www.dfas.mil/Portals/98/MilPayTable2010.pdf</x:v>
      </x:c>
      <x:c r="S62" s="76" t="str">
        <x:v>https://www.travel.dod.mil/Allowances/Basic-Allowance-for-Housing/BAH-Rate-Lookup/</x:v>
      </x:c>
      <x:c r="T62" s="76" t="str">
        <x:v>https://www.dfas.mil/Portals/98/MilPayTable2010.pdf</x:v>
      </x:c>
    </x:row>
    <x:row r="63">
      <x:c r="A63" s="19" t="n">
        <x:v>2010</x:v>
      </x:c>
      <x:c r="B63" s="19" t="str">
        <x:v>Actual</x:v>
      </x:c>
      <x:c r="C63" s="19" t="str">
        <x:v>O-4</x:v>
      </x:c>
      <x:c r="D63" s="19" t="str">
        <x:v>O-4 over 10</x:v>
      </x:c>
      <x:c r="E63" s="69" t="n">
        <x:v>0</x:v>
      </x:c>
      <x:c r="F63" s="79" t="n">
        <x:v>6230.1</x:v>
      </x:c>
      <x:c r="G63" s="80" t="n">
        <x:f>F63*'Assumptions &amp; Sources'!$B$7</x:f>
        <x:v>74761.20000000001</x:v>
      </x:c>
      <x:c r="H63" s="79" t="n">
        <x:v>1410</x:v>
      </x:c>
      <x:c r="I63" s="80" t="n">
        <x:f>H63*'Assumptions &amp; Sources'!$B$7</x:f>
        <x:v>16920</x:v>
      </x:c>
      <x:c r="J63" s="79" t="n">
        <x:v>223.04</x:v>
      </x:c>
      <x:c r="K63" s="80" t="n">
        <x:f>J63*'Assumptions &amp; Sources'!$B$7</x:f>
        <x:v>2676.48</x:v>
      </x:c>
      <x:c r="L63" s="80" t="n">
        <x:f>I63+K63</x:f>
        <x:v>19596.48</x:v>
      </x:c>
      <x:c r="M63" s="80" t="n">
        <x:f>G63+I63+K63</x:f>
        <x:v>94357.68000000001</x:v>
      </x:c>
      <x:c r="N63" s="80" t="n">
        <x:f>L63*'Dashboard'!$K$4/(1-'Dashboard'!$K$4)</x:f>
        <x:v>5527.212307692307</x:v>
      </x:c>
      <x:c r="O63" s="80" t="n">
        <x:f>M63+N63</x:f>
        <x:v>99884.89230769231</x:v>
      </x:c>
      <x:c r="P63" s="30" t="str">
        <x:v>OGDEN/HILL AFB, UT (UT291)</x:v>
      </x:c>
      <x:c r="Q63" s="30" t="str">
        <x:v>Year=2010; ZIP=84056; Pay grade=O-4; Dependents=With dependents</x:v>
      </x:c>
      <x:c r="R63" s="76" t="str">
        <x:v>https://www.dfas.mil/Portals/98/MilPayTable2010.pdf</x:v>
      </x:c>
      <x:c r="S63" s="76" t="str">
        <x:v>https://www.travel.dod.mil/Allowances/Basic-Allowance-for-Housing/BAH-Rate-Lookup/</x:v>
      </x:c>
      <x:c r="T63" s="76" t="str">
        <x:v>https://www.dfas.mil/Portals/98/MilPayTable2010.pdf</x:v>
      </x:c>
    </x:row>
    <x:row r="64">
      <x:c r="A64" s="19" t="n">
        <x:v>2010</x:v>
      </x:c>
      <x:c r="B64" s="19" t="str">
        <x:v>Actual</x:v>
      </x:c>
      <x:c r="C64" s="19" t="str">
        <x:v>O-5</x:v>
      </x:c>
      <x:c r="D64" s="19" t="str">
        <x:v>O-5 over 16</x:v>
      </x:c>
      <x:c r="E64" s="69" t="n">
        <x:v>0</x:v>
      </x:c>
      <x:c r="F64" s="79" t="n">
        <x:v>7535.1</x:v>
      </x:c>
      <x:c r="G64" s="80" t="n">
        <x:f>F64*'Assumptions &amp; Sources'!$B$7</x:f>
        <x:v>90421.20000000001</x:v>
      </x:c>
      <x:c r="H64" s="79" t="n">
        <x:v>1512</x:v>
      </x:c>
      <x:c r="I64" s="80" t="n">
        <x:f>H64*'Assumptions &amp; Sources'!$B$7</x:f>
        <x:v>18144</x:v>
      </x:c>
      <x:c r="J64" s="79" t="n">
        <x:v>223.04</x:v>
      </x:c>
      <x:c r="K64" s="80" t="n">
        <x:f>J64*'Assumptions &amp; Sources'!$B$7</x:f>
        <x:v>2676.48</x:v>
      </x:c>
      <x:c r="L64" s="80" t="n">
        <x:f>I64+K64</x:f>
        <x:v>20820.48</x:v>
      </x:c>
      <x:c r="M64" s="80" t="n">
        <x:f>G64+I64+K64</x:f>
        <x:v>111241.68000000001</x:v>
      </x:c>
      <x:c r="N64" s="80" t="n">
        <x:f>L64*'Dashboard'!$K$4/(1-'Dashboard'!$K$4)</x:f>
        <x:v>5872.443076923076</x:v>
      </x:c>
      <x:c r="O64" s="80" t="n">
        <x:f>M64+N64</x:f>
        <x:v>117114.12307692309</x:v>
      </x:c>
      <x:c r="P64" s="30" t="str">
        <x:v>OGDEN/HILL AFB, UT (UT291)</x:v>
      </x:c>
      <x:c r="Q64" s="30" t="str">
        <x:v>Year=2010; ZIP=84056; Pay grade=O-5; Dependents=With dependents</x:v>
      </x:c>
      <x:c r="R64" s="76" t="str">
        <x:v>https://www.dfas.mil/Portals/98/MilPayTable2010.pdf</x:v>
      </x:c>
      <x:c r="S64" s="76" t="str">
        <x:v>https://www.travel.dod.mil/Allowances/Basic-Allowance-for-Housing/BAH-Rate-Lookup/</x:v>
      </x:c>
      <x:c r="T64" s="76" t="str">
        <x:v>https://www.dfas.mil/Portals/98/MilPayTable2010.pdf</x:v>
      </x:c>
    </x:row>
    <x:row r="65">
      <x:c r="A65" s="19" t="n">
        <x:v>2010</x:v>
      </x:c>
      <x:c r="B65" s="19" t="str">
        <x:v>Actual</x:v>
      </x:c>
      <x:c r="C65" s="19" t="str">
        <x:v>O-6</x:v>
      </x:c>
      <x:c r="D65" s="19" t="str">
        <x:v>O-6 over 22</x:v>
      </x:c>
      <x:c r="E65" s="69" t="n">
        <x:v>0</x:v>
      </x:c>
      <x:c r="F65" s="79" t="n">
        <x:v>9334.8</x:v>
      </x:c>
      <x:c r="G65" s="80" t="n">
        <x:f>F65*'Assumptions &amp; Sources'!$B$7</x:f>
        <x:v>112017.59999999999</x:v>
      </x:c>
      <x:c r="H65" s="79" t="n">
        <x:v>1527</x:v>
      </x:c>
      <x:c r="I65" s="80" t="n">
        <x:f>H65*'Assumptions &amp; Sources'!$B$7</x:f>
        <x:v>18324</x:v>
      </x:c>
      <x:c r="J65" s="79" t="n">
        <x:v>223.04</x:v>
      </x:c>
      <x:c r="K65" s="80" t="n">
        <x:f>J65*'Assumptions &amp; Sources'!$B$7</x:f>
        <x:v>2676.48</x:v>
      </x:c>
      <x:c r="L65" s="80" t="n">
        <x:f>I65+K65</x:f>
        <x:v>21000.48</x:v>
      </x:c>
      <x:c r="M65" s="80" t="n">
        <x:f>G65+I65+K65</x:f>
        <x:v>133018.08</x:v>
      </x:c>
      <x:c r="N65" s="80" t="n">
        <x:f>L65*'Dashboard'!$K$4/(1-'Dashboard'!$K$4)</x:f>
        <x:v>5923.212307692307</x:v>
      </x:c>
      <x:c r="O65" s="80" t="n">
        <x:f>M65+N65</x:f>
        <x:v>138941.2923076923</x:v>
      </x:c>
      <x:c r="P65" s="30" t="str">
        <x:v>OGDEN/HILL AFB, UT (UT291)</x:v>
      </x:c>
      <x:c r="Q65" s="30" t="str">
        <x:v>Year=2010; ZIP=84056; Pay grade=O-6; Dependents=With dependents</x:v>
      </x:c>
      <x:c r="R65" s="76" t="str">
        <x:v>https://www.dfas.mil/Portals/98/MilPayTable2010.pdf</x:v>
      </x:c>
      <x:c r="S65" s="76" t="str">
        <x:v>https://www.travel.dod.mil/Allowances/Basic-Allowance-for-Housing/BAH-Rate-Lookup/</x:v>
      </x:c>
      <x:c r="T65" s="76" t="str">
        <x:v>https://www.dfas.mil/Portals/98/MilPayTable2010.pdf</x:v>
      </x:c>
    </x:row>
    <x:row r="66">
      <x:c r="A66" s="19" t="n">
        <x:v>2011</x:v>
      </x:c>
      <x:c r="B66" s="19" t="str">
        <x:v>Actual</x:v>
      </x:c>
      <x:c r="C66" s="19" t="str">
        <x:v>O-1</x:v>
      </x:c>
      <x:c r="D66" s="19" t="str">
        <x:v>O-1 under 2</x:v>
      </x:c>
      <x:c r="E66" s="69" t="n">
        <x:v>0</x:v>
      </x:c>
      <x:c r="F66" s="79" t="n">
        <x:v>2784</x:v>
      </x:c>
      <x:c r="G66" s="80" t="n">
        <x:f>F66*'Assumptions &amp; Sources'!$B$7</x:f>
        <x:v>33408</x:v>
      </x:c>
      <x:c r="H66" s="79" t="n">
        <x:v>1023</x:v>
      </x:c>
      <x:c r="I66" s="80" t="n">
        <x:f>H66*'Assumptions &amp; Sources'!$B$7</x:f>
        <x:v>12276</x:v>
      </x:c>
      <x:c r="J66" s="79" t="n">
        <x:v>223.84</x:v>
      </x:c>
      <x:c r="K66" s="80" t="n">
        <x:f>J66*'Assumptions &amp; Sources'!$B$7</x:f>
        <x:v>2686.08</x:v>
      </x:c>
      <x:c r="L66" s="80" t="n">
        <x:f>I66+K66</x:f>
        <x:v>14962.08</x:v>
      </x:c>
      <x:c r="M66" s="80" t="n">
        <x:f>G66+I66+K66</x:f>
        <x:v>48370.08</x:v>
      </x:c>
      <x:c r="N66" s="80" t="n">
        <x:f>L66*'Dashboard'!$K$4/(1-'Dashboard'!$K$4)</x:f>
        <x:v>4220.073846153846</x:v>
      </x:c>
      <x:c r="O66" s="80" t="n">
        <x:f>M66+N66</x:f>
        <x:v>52590.153846153844</x:v>
      </x:c>
      <x:c r="P66" s="30" t="str">
        <x:v>OGDEN/HILL AFB, UT (UT291)</x:v>
      </x:c>
      <x:c r="Q66" s="30" t="str">
        <x:v>Year=2011; ZIP=84056; Pay grade=O-1; Dependents=With dependents</x:v>
      </x:c>
      <x:c r="R66" s="76" t="str">
        <x:v>https://www.dfas.mil/Portals/98/MilPayTable2011.pdf</x:v>
      </x:c>
      <x:c r="S66" s="76" t="str">
        <x:v>https://www.travel.dod.mil/Allowances/Basic-Allowance-for-Housing/BAH-Rate-Lookup/</x:v>
      </x:c>
      <x:c r="T66" s="76" t="str">
        <x:v>https://www.dfas.mil/militarymembers/payentitlements/Pay-Tables/bas/</x:v>
      </x:c>
    </x:row>
    <x:row r="67">
      <x:c r="A67" s="19" t="n">
        <x:v>2011</x:v>
      </x:c>
      <x:c r="B67" s="19" t="str">
        <x:v>Actual</x:v>
      </x:c>
      <x:c r="C67" s="19" t="str">
        <x:v>O-2</x:v>
      </x:c>
      <x:c r="D67" s="19" t="str">
        <x:v>O-2 over 2</x:v>
      </x:c>
      <x:c r="E67" s="69" t="n">
        <x:v>0</x:v>
      </x:c>
      <x:c r="F67" s="79" t="n">
        <x:v>3652.8</x:v>
      </x:c>
      <x:c r="G67" s="80" t="n">
        <x:f>F67*'Assumptions &amp; Sources'!$B$7</x:f>
        <x:v>43833.600000000006</x:v>
      </x:c>
      <x:c r="H67" s="79" t="n">
        <x:v>1149</x:v>
      </x:c>
      <x:c r="I67" s="80" t="n">
        <x:f>H67*'Assumptions &amp; Sources'!$B$7</x:f>
        <x:v>13788</x:v>
      </x:c>
      <x:c r="J67" s="79" t="n">
        <x:v>223.84</x:v>
      </x:c>
      <x:c r="K67" s="80" t="n">
        <x:f>J67*'Assumptions &amp; Sources'!$B$7</x:f>
        <x:v>2686.08</x:v>
      </x:c>
      <x:c r="L67" s="80" t="n">
        <x:f>I67+K67</x:f>
        <x:v>16474.08</x:v>
      </x:c>
      <x:c r="M67" s="80" t="n">
        <x:f>G67+I67+K67</x:f>
        <x:v>60307.68000000001</x:v>
      </x:c>
      <x:c r="N67" s="80" t="n">
        <x:f>L67*'Dashboard'!$K$4/(1-'Dashboard'!$K$4)</x:f>
        <x:v>4646.535384615385</x:v>
      </x:c>
      <x:c r="O67" s="80" t="n">
        <x:f>M67+N67</x:f>
        <x:v>64954.215384615396</x:v>
      </x:c>
      <x:c r="P67" s="30" t="str">
        <x:v>OGDEN/HILL AFB, UT (UT291)</x:v>
      </x:c>
      <x:c r="Q67" s="30" t="str">
        <x:v>Year=2011; ZIP=84056; Pay grade=O-2; Dependents=With dependents</x:v>
      </x:c>
      <x:c r="R67" s="76" t="str">
        <x:v>https://www.dfas.mil/Portals/98/MilPayTable2011.pdf</x:v>
      </x:c>
      <x:c r="S67" s="76" t="str">
        <x:v>https://www.travel.dod.mil/Allowances/Basic-Allowance-for-Housing/BAH-Rate-Lookup/</x:v>
      </x:c>
      <x:c r="T67" s="76" t="str">
        <x:v>https://www.dfas.mil/militarymembers/payentitlements/Pay-Tables/bas/</x:v>
      </x:c>
    </x:row>
    <x:row r="68">
      <x:c r="A68" s="19" t="n">
        <x:v>2011</x:v>
      </x:c>
      <x:c r="B68" s="19" t="str">
        <x:v>Actual</x:v>
      </x:c>
      <x:c r="C68" s="19" t="str">
        <x:v>O-3</x:v>
      </x:c>
      <x:c r="D68" s="19" t="str">
        <x:v>O-3 over 6</x:v>
      </x:c>
      <x:c r="E68" s="69" t="n">
        <x:v>0</x:v>
      </x:c>
      <x:c r="F68" s="79" t="n">
        <x:v>5188.8</x:v>
      </x:c>
      <x:c r="G68" s="80" t="n">
        <x:f>F68*'Assumptions &amp; Sources'!$B$7</x:f>
        <x:v>62265.600000000006</x:v>
      </x:c>
      <x:c r="H68" s="79" t="n">
        <x:v>1377</x:v>
      </x:c>
      <x:c r="I68" s="80" t="n">
        <x:f>H68*'Assumptions &amp; Sources'!$B$7</x:f>
        <x:v>16524</x:v>
      </x:c>
      <x:c r="J68" s="79" t="n">
        <x:v>223.84</x:v>
      </x:c>
      <x:c r="K68" s="80" t="n">
        <x:f>J68*'Assumptions &amp; Sources'!$B$7</x:f>
        <x:v>2686.08</x:v>
      </x:c>
      <x:c r="L68" s="80" t="n">
        <x:f>I68+K68</x:f>
        <x:v>19210.08</x:v>
      </x:c>
      <x:c r="M68" s="80" t="n">
        <x:f>G68+I68+K68</x:f>
        <x:v>81475.68000000001</x:v>
      </x:c>
      <x:c r="N68" s="80" t="n">
        <x:f>L68*'Dashboard'!$K$4/(1-'Dashboard'!$K$4)</x:f>
        <x:v>5418.227692307693</x:v>
      </x:c>
      <x:c r="O68" s="80" t="n">
        <x:f>M68+N68</x:f>
        <x:v>86893.9076923077</x:v>
      </x:c>
      <x:c r="P68" s="30" t="str">
        <x:v>OGDEN/HILL AFB, UT (UT291)</x:v>
      </x:c>
      <x:c r="Q68" s="30" t="str">
        <x:v>Year=2011; ZIP=84056; Pay grade=O-3; Dependents=With dependents</x:v>
      </x:c>
      <x:c r="R68" s="76" t="str">
        <x:v>https://www.dfas.mil/Portals/98/MilPayTable2011.pdf</x:v>
      </x:c>
      <x:c r="S68" s="76" t="str">
        <x:v>https://www.travel.dod.mil/Allowances/Basic-Allowance-for-Housing/BAH-Rate-Lookup/</x:v>
      </x:c>
      <x:c r="T68" s="76" t="str">
        <x:v>https://www.dfas.mil/militarymembers/payentitlements/Pay-Tables/bas/</x:v>
      </x:c>
    </x:row>
    <x:row r="69">
      <x:c r="A69" s="19" t="n">
        <x:v>2011</x:v>
      </x:c>
      <x:c r="B69" s="19" t="str">
        <x:v>Actual</x:v>
      </x:c>
      <x:c r="C69" s="19" t="str">
        <x:v>O-4</x:v>
      </x:c>
      <x:c r="D69" s="19" t="str">
        <x:v>O-4 over 10</x:v>
      </x:c>
      <x:c r="E69" s="69" t="n">
        <x:v>0</x:v>
      </x:c>
      <x:c r="F69" s="79" t="n">
        <x:v>6317.4</x:v>
      </x:c>
      <x:c r="G69" s="80" t="n">
        <x:f>F69*'Assumptions &amp; Sources'!$B$7</x:f>
        <x:v>75808.79999999999</x:v>
      </x:c>
      <x:c r="H69" s="79" t="n">
        <x:v>1497</x:v>
      </x:c>
      <x:c r="I69" s="80" t="n">
        <x:f>H69*'Assumptions &amp; Sources'!$B$7</x:f>
        <x:v>17964</x:v>
      </x:c>
      <x:c r="J69" s="79" t="n">
        <x:v>223.84</x:v>
      </x:c>
      <x:c r="K69" s="80" t="n">
        <x:f>J69*'Assumptions &amp; Sources'!$B$7</x:f>
        <x:v>2686.08</x:v>
      </x:c>
      <x:c r="L69" s="80" t="n">
        <x:f>I69+K69</x:f>
        <x:v>20650.08</x:v>
      </x:c>
      <x:c r="M69" s="80" t="n">
        <x:f>G69+I69+K69</x:f>
        <x:v>96458.87999999999</x:v>
      </x:c>
      <x:c r="N69" s="80" t="n">
        <x:f>L69*'Dashboard'!$K$4/(1-'Dashboard'!$K$4)</x:f>
        <x:v>5824.381538461538</x:v>
      </x:c>
      <x:c r="O69" s="80" t="n">
        <x:f>M69+N69</x:f>
        <x:v>102283.26153846153</x:v>
      </x:c>
      <x:c r="P69" s="30" t="str">
        <x:v>OGDEN/HILL AFB, UT (UT291)</x:v>
      </x:c>
      <x:c r="Q69" s="30" t="str">
        <x:v>Year=2011; ZIP=84056; Pay grade=O-4; Dependents=With dependents</x:v>
      </x:c>
      <x:c r="R69" s="76" t="str">
        <x:v>https://www.dfas.mil/Portals/98/MilPayTable2011.pdf</x:v>
      </x:c>
      <x:c r="S69" s="76" t="str">
        <x:v>https://www.travel.dod.mil/Allowances/Basic-Allowance-for-Housing/BAH-Rate-Lookup/</x:v>
      </x:c>
      <x:c r="T69" s="76" t="str">
        <x:v>https://www.dfas.mil/militarymembers/payentitlements/Pay-Tables/bas/</x:v>
      </x:c>
    </x:row>
    <x:row r="70">
      <x:c r="A70" s="19" t="n">
        <x:v>2011</x:v>
      </x:c>
      <x:c r="B70" s="19" t="str">
        <x:v>Actual</x:v>
      </x:c>
      <x:c r="C70" s="19" t="str">
        <x:v>O-5</x:v>
      </x:c>
      <x:c r="D70" s="19" t="str">
        <x:v>O-5 over 16</x:v>
      </x:c>
      <x:c r="E70" s="69" t="n">
        <x:v>0</x:v>
      </x:c>
      <x:c r="F70" s="79" t="n">
        <x:v>7640.7</x:v>
      </x:c>
      <x:c r="G70" s="80" t="n">
        <x:f>F70*'Assumptions &amp; Sources'!$B$7</x:f>
        <x:v>91688.4</x:v>
      </x:c>
      <x:c r="H70" s="79" t="n">
        <x:v>1581</x:v>
      </x:c>
      <x:c r="I70" s="80" t="n">
        <x:f>H70*'Assumptions &amp; Sources'!$B$7</x:f>
        <x:v>18972</x:v>
      </x:c>
      <x:c r="J70" s="79" t="n">
        <x:v>223.84</x:v>
      </x:c>
      <x:c r="K70" s="80" t="n">
        <x:f>J70*'Assumptions &amp; Sources'!$B$7</x:f>
        <x:v>2686.08</x:v>
      </x:c>
      <x:c r="L70" s="80" t="n">
        <x:f>I70+K70</x:f>
        <x:v>21658.08</x:v>
      </x:c>
      <x:c r="M70" s="80" t="n">
        <x:f>G70+I70+K70</x:f>
        <x:v>113346.48</x:v>
      </x:c>
      <x:c r="N70" s="80" t="n">
        <x:f>L70*'Dashboard'!$K$4/(1-'Dashboard'!$K$4)</x:f>
        <x:v>6108.689230769231</x:v>
      </x:c>
      <x:c r="O70" s="80" t="n">
        <x:f>M70+N70</x:f>
        <x:v>119455.16923076923</x:v>
      </x:c>
      <x:c r="P70" s="30" t="str">
        <x:v>OGDEN/HILL AFB, UT (UT291)</x:v>
      </x:c>
      <x:c r="Q70" s="30" t="str">
        <x:v>Year=2011; ZIP=84056; Pay grade=O-5; Dependents=With dependents</x:v>
      </x:c>
      <x:c r="R70" s="76" t="str">
        <x:v>https://www.dfas.mil/Portals/98/MilPayTable2011.pdf</x:v>
      </x:c>
      <x:c r="S70" s="76" t="str">
        <x:v>https://www.travel.dod.mil/Allowances/Basic-Allowance-for-Housing/BAH-Rate-Lookup/</x:v>
      </x:c>
      <x:c r="T70" s="76" t="str">
        <x:v>https://www.dfas.mil/militarymembers/payentitlements/Pay-Tables/bas/</x:v>
      </x:c>
    </x:row>
    <x:row r="71">
      <x:c r="A71" s="19" t="n">
        <x:v>2011</x:v>
      </x:c>
      <x:c r="B71" s="19" t="str">
        <x:v>Actual</x:v>
      </x:c>
      <x:c r="C71" s="19" t="str">
        <x:v>O-6</x:v>
      </x:c>
      <x:c r="D71" s="19" t="str">
        <x:v>O-6 over 22</x:v>
      </x:c>
      <x:c r="E71" s="69" t="n">
        <x:v>0</x:v>
      </x:c>
      <x:c r="F71" s="79" t="n">
        <x:v>9465.6</x:v>
      </x:c>
      <x:c r="G71" s="80" t="n">
        <x:f>F71*'Assumptions &amp; Sources'!$B$7</x:f>
        <x:v>113587.20000000001</x:v>
      </x:c>
      <x:c r="H71" s="79" t="n">
        <x:v>1596</x:v>
      </x:c>
      <x:c r="I71" s="80" t="n">
        <x:f>H71*'Assumptions &amp; Sources'!$B$7</x:f>
        <x:v>19152</x:v>
      </x:c>
      <x:c r="J71" s="79" t="n">
        <x:v>223.84</x:v>
      </x:c>
      <x:c r="K71" s="80" t="n">
        <x:f>J71*'Assumptions &amp; Sources'!$B$7</x:f>
        <x:v>2686.08</x:v>
      </x:c>
      <x:c r="L71" s="80" t="n">
        <x:f>I71+K71</x:f>
        <x:v>21838.08</x:v>
      </x:c>
      <x:c r="M71" s="80" t="n">
        <x:f>G71+I71+K71</x:f>
        <x:v>135425.28</x:v>
      </x:c>
      <x:c r="N71" s="80" t="n">
        <x:f>L71*'Dashboard'!$K$4/(1-'Dashboard'!$K$4)</x:f>
        <x:v>6159.458461538462</x:v>
      </x:c>
      <x:c r="O71" s="80" t="n">
        <x:f>M71+N71</x:f>
        <x:v>141584.73846153845</x:v>
      </x:c>
      <x:c r="P71" s="30" t="str">
        <x:v>OGDEN/HILL AFB, UT (UT291)</x:v>
      </x:c>
      <x:c r="Q71" s="30" t="str">
        <x:v>Year=2011; ZIP=84056; Pay grade=O-6; Dependents=With dependents</x:v>
      </x:c>
      <x:c r="R71" s="76" t="str">
        <x:v>https://www.dfas.mil/Portals/98/MilPayTable2011.pdf</x:v>
      </x:c>
      <x:c r="S71" s="76" t="str">
        <x:v>https://www.travel.dod.mil/Allowances/Basic-Allowance-for-Housing/BAH-Rate-Lookup/</x:v>
      </x:c>
      <x:c r="T71" s="76" t="str">
        <x:v>https://www.dfas.mil/militarymembers/payentitlements/Pay-Tables/bas/</x:v>
      </x:c>
    </x:row>
    <x:row r="72">
      <x:c r="A72" s="19" t="n">
        <x:v>2012</x:v>
      </x:c>
      <x:c r="B72" s="19" t="str">
        <x:v>Actual</x:v>
      </x:c>
      <x:c r="C72" s="19" t="str">
        <x:v>O-1</x:v>
      </x:c>
      <x:c r="D72" s="19" t="str">
        <x:v>O-1 under 2</x:v>
      </x:c>
      <x:c r="E72" s="69" t="n">
        <x:v>0</x:v>
      </x:c>
      <x:c r="F72" s="79" t="n">
        <x:v>2828.4</x:v>
      </x:c>
      <x:c r="G72" s="80" t="n">
        <x:f>F72*'Assumptions &amp; Sources'!$B$7</x:f>
        <x:v>33940.8</x:v>
      </x:c>
      <x:c r="H72" s="79" t="n">
        <x:v>1053</x:v>
      </x:c>
      <x:c r="I72" s="80" t="n">
        <x:f>H72*'Assumptions &amp; Sources'!$B$7</x:f>
        <x:v>12636</x:v>
      </x:c>
      <x:c r="J72" s="79" t="n">
        <x:v>239.96</x:v>
      </x:c>
      <x:c r="K72" s="80" t="n">
        <x:f>J72*'Assumptions &amp; Sources'!$B$7</x:f>
        <x:v>2879.52</x:v>
      </x:c>
      <x:c r="L72" s="80" t="n">
        <x:f>I72+K72</x:f>
        <x:v>15515.52</x:v>
      </x:c>
      <x:c r="M72" s="80" t="n">
        <x:f>G72+I72+K72</x:f>
        <x:v>49456.32</x:v>
      </x:c>
      <x:c r="N72" s="80" t="n">
        <x:f>L72*'Dashboard'!$K$4/(1-'Dashboard'!$K$4)</x:f>
        <x:v>4376.172307692308</x:v>
      </x:c>
      <x:c r="O72" s="80" t="n">
        <x:f>M72+N72</x:f>
        <x:v>53832.49230769231</x:v>
      </x:c>
      <x:c r="P72" s="30" t="str">
        <x:v>OGDEN/HILL AFB, UT (UT291)</x:v>
      </x:c>
      <x:c r="Q72" s="30" t="str">
        <x:v>Year=2012; ZIP=84056; Pay grade=O-1; Dependents=With dependents</x:v>
      </x:c>
      <x:c r="R72" s="76" t="str">
        <x:v>https://www.dfas.mil/Portals/98/MilPayTable2012.pdf</x:v>
      </x:c>
      <x:c r="S72" s="76" t="str">
        <x:v>https://www.travel.dod.mil/Allowances/Basic-Allowance-for-Housing/BAH-Rate-Lookup/</x:v>
      </x:c>
      <x:c r="T72" s="76" t="str">
        <x:v>https://www.dfas.mil/militarymembers/payentitlements/Pay-Tables/bas/</x:v>
      </x:c>
    </x:row>
    <x:row r="73">
      <x:c r="A73" s="19" t="n">
        <x:v>2012</x:v>
      </x:c>
      <x:c r="B73" s="19" t="str">
        <x:v>Actual</x:v>
      </x:c>
      <x:c r="C73" s="19" t="str">
        <x:v>O-2</x:v>
      </x:c>
      <x:c r="D73" s="19" t="str">
        <x:v>O-2 over 2</x:v>
      </x:c>
      <x:c r="E73" s="69" t="n">
        <x:v>0</x:v>
      </x:c>
      <x:c r="F73" s="79" t="n">
        <x:v>3711.3</x:v>
      </x:c>
      <x:c r="G73" s="80" t="n">
        <x:f>F73*'Assumptions &amp; Sources'!$B$7</x:f>
        <x:v>44535.600000000006</x:v>
      </x:c>
      <x:c r="H73" s="79" t="n">
        <x:v>1149</x:v>
      </x:c>
      <x:c r="I73" s="80" t="n">
        <x:f>H73*'Assumptions &amp; Sources'!$B$7</x:f>
        <x:v>13788</x:v>
      </x:c>
      <x:c r="J73" s="79" t="n">
        <x:v>239.96</x:v>
      </x:c>
      <x:c r="K73" s="80" t="n">
        <x:f>J73*'Assumptions &amp; Sources'!$B$7</x:f>
        <x:v>2879.52</x:v>
      </x:c>
      <x:c r="L73" s="80" t="n">
        <x:f>I73+K73</x:f>
        <x:v>16667.52</x:v>
      </x:c>
      <x:c r="M73" s="80" t="n">
        <x:f>G73+I73+K73</x:f>
        <x:v>61203.12</x:v>
      </x:c>
      <x:c r="N73" s="80" t="n">
        <x:f>L73*'Dashboard'!$K$4/(1-'Dashboard'!$K$4)</x:f>
        <x:v>4701.095384615384</x:v>
      </x:c>
      <x:c r="O73" s="80" t="n">
        <x:f>M73+N73</x:f>
        <x:v>65904.21538461538</x:v>
      </x:c>
      <x:c r="P73" s="30" t="str">
        <x:v>OGDEN/HILL AFB, UT (UT291)</x:v>
      </x:c>
      <x:c r="Q73" s="30" t="str">
        <x:v>Year=2012; ZIP=84056; Pay grade=O-2; Dependents=With dependents</x:v>
      </x:c>
      <x:c r="R73" s="76" t="str">
        <x:v>https://www.dfas.mil/Portals/98/MilPayTable2012.pdf</x:v>
      </x:c>
      <x:c r="S73" s="76" t="str">
        <x:v>https://www.travel.dod.mil/Allowances/Basic-Allowance-for-Housing/BAH-Rate-Lookup/</x:v>
      </x:c>
      <x:c r="T73" s="76" t="str">
        <x:v>https://www.dfas.mil/militarymembers/payentitlements/Pay-Tables/bas/</x:v>
      </x:c>
    </x:row>
    <x:row r="74">
      <x:c r="A74" s="19" t="n">
        <x:v>2012</x:v>
      </x:c>
      <x:c r="B74" s="19" t="str">
        <x:v>Actual</x:v>
      </x:c>
      <x:c r="C74" s="19" t="str">
        <x:v>O-3</x:v>
      </x:c>
      <x:c r="D74" s="19" t="str">
        <x:v>O-3 over 6</x:v>
      </x:c>
      <x:c r="E74" s="69" t="n">
        <x:v>0</x:v>
      </x:c>
      <x:c r="F74" s="79" t="n">
        <x:v>5271.9</x:v>
      </x:c>
      <x:c r="G74" s="80" t="n">
        <x:f>F74*'Assumptions &amp; Sources'!$B$7</x:f>
        <x:v>63262.799999999996</x:v>
      </x:c>
      <x:c r="H74" s="79" t="n">
        <x:v>1437</x:v>
      </x:c>
      <x:c r="I74" s="80" t="n">
        <x:f>H74*'Assumptions &amp; Sources'!$B$7</x:f>
        <x:v>17244</x:v>
      </x:c>
      <x:c r="J74" s="79" t="n">
        <x:v>239.96</x:v>
      </x:c>
      <x:c r="K74" s="80" t="n">
        <x:f>J74*'Assumptions &amp; Sources'!$B$7</x:f>
        <x:v>2879.52</x:v>
      </x:c>
      <x:c r="L74" s="80" t="n">
        <x:f>I74+K74</x:f>
        <x:v>20123.52</x:v>
      </x:c>
      <x:c r="M74" s="80" t="n">
        <x:f>G74+I74+K74</x:f>
        <x:v>83386.31999999999</x:v>
      </x:c>
      <x:c r="N74" s="80" t="n">
        <x:f>L74*'Dashboard'!$K$4/(1-'Dashboard'!$K$4)</x:f>
        <x:v>5675.864615384615</x:v>
      </x:c>
      <x:c r="O74" s="80" t="n">
        <x:f>M74+N74</x:f>
        <x:v>89062.18461538461</x:v>
      </x:c>
      <x:c r="P74" s="30" t="str">
        <x:v>OGDEN/HILL AFB, UT (UT291)</x:v>
      </x:c>
      <x:c r="Q74" s="30" t="str">
        <x:v>Year=2012; ZIP=84056; Pay grade=O-3; Dependents=With dependents</x:v>
      </x:c>
      <x:c r="R74" s="76" t="str">
        <x:v>https://www.dfas.mil/Portals/98/MilPayTable2012.pdf</x:v>
      </x:c>
      <x:c r="S74" s="76" t="str">
        <x:v>https://www.travel.dod.mil/Allowances/Basic-Allowance-for-Housing/BAH-Rate-Lookup/</x:v>
      </x:c>
      <x:c r="T74" s="76" t="str">
        <x:v>https://www.dfas.mil/militarymembers/payentitlements/Pay-Tables/bas/</x:v>
      </x:c>
    </x:row>
    <x:row r="75">
      <x:c r="A75" s="19" t="n">
        <x:v>2012</x:v>
      </x:c>
      <x:c r="B75" s="19" t="str">
        <x:v>Actual</x:v>
      </x:c>
      <x:c r="C75" s="19" t="str">
        <x:v>O-4</x:v>
      </x:c>
      <x:c r="D75" s="19" t="str">
        <x:v>O-4 over 10</x:v>
      </x:c>
      <x:c r="E75" s="69" t="n">
        <x:v>0</x:v>
      </x:c>
      <x:c r="F75" s="79" t="n">
        <x:v>6418.5</x:v>
      </x:c>
      <x:c r="G75" s="80" t="n">
        <x:f>F75*'Assumptions &amp; Sources'!$B$7</x:f>
        <x:v>77022</x:v>
      </x:c>
      <x:c r="H75" s="79" t="n">
        <x:v>1545</x:v>
      </x:c>
      <x:c r="I75" s="80" t="n">
        <x:f>H75*'Assumptions &amp; Sources'!$B$7</x:f>
        <x:v>18540</x:v>
      </x:c>
      <x:c r="J75" s="79" t="n">
        <x:v>239.96</x:v>
      </x:c>
      <x:c r="K75" s="80" t="n">
        <x:f>J75*'Assumptions &amp; Sources'!$B$7</x:f>
        <x:v>2879.52</x:v>
      </x:c>
      <x:c r="L75" s="80" t="n">
        <x:f>I75+K75</x:f>
        <x:v>21419.52</x:v>
      </x:c>
      <x:c r="M75" s="80" t="n">
        <x:f>G75+I75+K75</x:f>
        <x:v>98441.52</x:v>
      </x:c>
      <x:c r="N75" s="80" t="n">
        <x:f>L75*'Dashboard'!$K$4/(1-'Dashboard'!$K$4)</x:f>
        <x:v>6041.403076923077</x:v>
      </x:c>
      <x:c r="O75" s="80" t="n">
        <x:f>M75+N75</x:f>
        <x:v>104482.92307692308</x:v>
      </x:c>
      <x:c r="P75" s="30" t="str">
        <x:v>OGDEN/HILL AFB, UT (UT291)</x:v>
      </x:c>
      <x:c r="Q75" s="30" t="str">
        <x:v>Year=2012; ZIP=84056; Pay grade=O-4; Dependents=With dependents</x:v>
      </x:c>
      <x:c r="R75" s="76" t="str">
        <x:v>https://www.dfas.mil/Portals/98/MilPayTable2012.pdf</x:v>
      </x:c>
      <x:c r="S75" s="76" t="str">
        <x:v>https://www.travel.dod.mil/Allowances/Basic-Allowance-for-Housing/BAH-Rate-Lookup/</x:v>
      </x:c>
      <x:c r="T75" s="76" t="str">
        <x:v>https://www.dfas.mil/militarymembers/payentitlements/Pay-Tables/bas/</x:v>
      </x:c>
    </x:row>
    <x:row r="76">
      <x:c r="A76" s="19" t="n">
        <x:v>2012</x:v>
      </x:c>
      <x:c r="B76" s="19" t="str">
        <x:v>Actual</x:v>
      </x:c>
      <x:c r="C76" s="19" t="str">
        <x:v>O-5</x:v>
      </x:c>
      <x:c r="D76" s="19" t="str">
        <x:v>O-5 over 16</x:v>
      </x:c>
      <x:c r="E76" s="69" t="n">
        <x:v>0</x:v>
      </x:c>
      <x:c r="F76" s="79" t="n">
        <x:v>7763.1</x:v>
      </x:c>
      <x:c r="G76" s="80" t="n">
        <x:f>F76*'Assumptions &amp; Sources'!$B$7</x:f>
        <x:v>93157.20000000001</x:v>
      </x:c>
      <x:c r="H76" s="79" t="n">
        <x:v>1620</x:v>
      </x:c>
      <x:c r="I76" s="80" t="n">
        <x:f>H76*'Assumptions &amp; Sources'!$B$7</x:f>
        <x:v>19440</x:v>
      </x:c>
      <x:c r="J76" s="79" t="n">
        <x:v>239.96</x:v>
      </x:c>
      <x:c r="K76" s="80" t="n">
        <x:f>J76*'Assumptions &amp; Sources'!$B$7</x:f>
        <x:v>2879.52</x:v>
      </x:c>
      <x:c r="L76" s="80" t="n">
        <x:f>I76+K76</x:f>
        <x:v>22319.52</x:v>
      </x:c>
      <x:c r="M76" s="80" t="n">
        <x:f>G76+I76+K76</x:f>
        <x:v>115476.72000000002</x:v>
      </x:c>
      <x:c r="N76" s="80" t="n">
        <x:f>L76*'Dashboard'!$K$4/(1-'Dashboard'!$K$4)</x:f>
        <x:v>6295.24923076923</x:v>
      </x:c>
      <x:c r="O76" s="80" t="n">
        <x:f>M76+N76</x:f>
        <x:v>121771.96923076925</x:v>
      </x:c>
      <x:c r="P76" s="30" t="str">
        <x:v>OGDEN/HILL AFB, UT (UT291)</x:v>
      </x:c>
      <x:c r="Q76" s="30" t="str">
        <x:v>Year=2012; ZIP=84056; Pay grade=O-5; Dependents=With dependents</x:v>
      </x:c>
      <x:c r="R76" s="76" t="str">
        <x:v>https://www.dfas.mil/Portals/98/MilPayTable2012.pdf</x:v>
      </x:c>
      <x:c r="S76" s="76" t="str">
        <x:v>https://www.travel.dod.mil/Allowances/Basic-Allowance-for-Housing/BAH-Rate-Lookup/</x:v>
      </x:c>
      <x:c r="T76" s="76" t="str">
        <x:v>https://www.dfas.mil/militarymembers/payentitlements/Pay-Tables/bas/</x:v>
      </x:c>
    </x:row>
    <x:row r="77">
      <x:c r="A77" s="19" t="n">
        <x:v>2012</x:v>
      </x:c>
      <x:c r="B77" s="19" t="str">
        <x:v>Actual</x:v>
      </x:c>
      <x:c r="C77" s="19" t="str">
        <x:v>O-6</x:v>
      </x:c>
      <x:c r="D77" s="19" t="str">
        <x:v>O-6 over 22</x:v>
      </x:c>
      <x:c r="E77" s="69" t="n">
        <x:v>0</x:v>
      </x:c>
      <x:c r="F77" s="79" t="n">
        <x:v>9617.1</x:v>
      </x:c>
      <x:c r="G77" s="80" t="n">
        <x:f>F77*'Assumptions &amp; Sources'!$B$7</x:f>
        <x:v>115405.20000000001</x:v>
      </x:c>
      <x:c r="H77" s="79" t="n">
        <x:v>1635</x:v>
      </x:c>
      <x:c r="I77" s="80" t="n">
        <x:f>H77*'Assumptions &amp; Sources'!$B$7</x:f>
        <x:v>19620</x:v>
      </x:c>
      <x:c r="J77" s="79" t="n">
        <x:v>239.96</x:v>
      </x:c>
      <x:c r="K77" s="80" t="n">
        <x:f>J77*'Assumptions &amp; Sources'!$B$7</x:f>
        <x:v>2879.52</x:v>
      </x:c>
      <x:c r="L77" s="80" t="n">
        <x:f>I77+K77</x:f>
        <x:v>22499.52</x:v>
      </x:c>
      <x:c r="M77" s="80" t="n">
        <x:f>G77+I77+K77</x:f>
        <x:v>137904.72</x:v>
      </x:c>
      <x:c r="N77" s="80" t="n">
        <x:f>L77*'Dashboard'!$K$4/(1-'Dashboard'!$K$4)</x:f>
        <x:v>6346.018461538461</x:v>
      </x:c>
      <x:c r="O77" s="80" t="n">
        <x:f>M77+N77</x:f>
        <x:v>144250.73846153845</x:v>
      </x:c>
      <x:c r="P77" s="30" t="str">
        <x:v>OGDEN/HILL AFB, UT (UT291)</x:v>
      </x:c>
      <x:c r="Q77" s="30" t="str">
        <x:v>Year=2012; ZIP=84056; Pay grade=O-6; Dependents=With dependents</x:v>
      </x:c>
      <x:c r="R77" s="76" t="str">
        <x:v>https://www.dfas.mil/Portals/98/MilPayTable2012.pdf</x:v>
      </x:c>
      <x:c r="S77" s="76" t="str">
        <x:v>https://www.travel.dod.mil/Allowances/Basic-Allowance-for-Housing/BAH-Rate-Lookup/</x:v>
      </x:c>
      <x:c r="T77" s="76" t="str">
        <x:v>https://www.dfas.mil/militarymembers/payentitlements/Pay-Tables/bas/</x:v>
      </x:c>
    </x:row>
    <x:row r="78">
      <x:c r="A78" s="19" t="n">
        <x:v>2013</x:v>
      </x:c>
      <x:c r="B78" s="19" t="str">
        <x:v>Actual</x:v>
      </x:c>
      <x:c r="C78" s="19" t="str">
        <x:v>O-1</x:v>
      </x:c>
      <x:c r="D78" s="19" t="str">
        <x:v>O-1 under 2</x:v>
      </x:c>
      <x:c r="E78" s="69" t="n">
        <x:v>0</x:v>
      </x:c>
      <x:c r="F78" s="79" t="n">
        <x:v>2876.4</x:v>
      </x:c>
      <x:c r="G78" s="80" t="n">
        <x:f>F78*'Assumptions &amp; Sources'!$B$7</x:f>
        <x:v>34516.8</x:v>
      </x:c>
      <x:c r="H78" s="79" t="n">
        <x:v>1092</x:v>
      </x:c>
      <x:c r="I78" s="80" t="n">
        <x:f>H78*'Assumptions &amp; Sources'!$B$7</x:f>
        <x:v>13104</x:v>
      </x:c>
      <x:c r="J78" s="79" t="n">
        <x:v>242.6</x:v>
      </x:c>
      <x:c r="K78" s="80" t="n">
        <x:f>J78*'Assumptions &amp; Sources'!$B$7</x:f>
        <x:v>2911.2</x:v>
      </x:c>
      <x:c r="L78" s="80" t="n">
        <x:f>I78+K78</x:f>
        <x:v>16015.2</x:v>
      </x:c>
      <x:c r="M78" s="80" t="n">
        <x:f>G78+I78+K78</x:f>
        <x:v>50532</x:v>
      </x:c>
      <x:c r="N78" s="80" t="n">
        <x:f>L78*'Dashboard'!$K$4/(1-'Dashboard'!$K$4)</x:f>
        <x:v>4517.107692307693</x:v>
      </x:c>
      <x:c r="O78" s="80" t="n">
        <x:f>M78+N78</x:f>
        <x:v>55049.10769230769</x:v>
      </x:c>
      <x:c r="P78" s="30" t="str">
        <x:v>OGDEN/HILL AFB, UT (UT291)</x:v>
      </x:c>
      <x:c r="Q78" s="30" t="str">
        <x:v>Year=2013; ZIP=84056; Pay grade=O-1; Dependents=With dependents</x:v>
      </x:c>
      <x:c r="R78" s="76" t="str">
        <x:v>https://www.dfas.mil/Portals/98/MilPayTable2013_1.pdf</x:v>
      </x:c>
      <x:c r="S78" s="76" t="str">
        <x:v>https://www.travel.dod.mil/Allowances/Basic-Allowance-for-Housing/BAH-Rate-Lookup/</x:v>
      </x:c>
      <x:c r="T78" s="76" t="str">
        <x:v>https://www.dfas.mil/militarymembers/payentitlements/Pay-Tables/bas/</x:v>
      </x:c>
    </x:row>
    <x:row r="79">
      <x:c r="A79" s="19" t="n">
        <x:v>2013</x:v>
      </x:c>
      <x:c r="B79" s="19" t="str">
        <x:v>Actual</x:v>
      </x:c>
      <x:c r="C79" s="19" t="str">
        <x:v>O-2</x:v>
      </x:c>
      <x:c r="D79" s="19" t="str">
        <x:v>O-2 over 2</x:v>
      </x:c>
      <x:c r="E79" s="69" t="n">
        <x:v>0</x:v>
      </x:c>
      <x:c r="F79" s="79" t="n">
        <x:v>3774.3</x:v>
      </x:c>
      <x:c r="G79" s="80" t="n">
        <x:f>F79*'Assumptions &amp; Sources'!$B$7</x:f>
        <x:v>45291.600000000006</x:v>
      </x:c>
      <x:c r="H79" s="79" t="n">
        <x:v>1314</x:v>
      </x:c>
      <x:c r="I79" s="80" t="n">
        <x:f>H79*'Assumptions &amp; Sources'!$B$7</x:f>
        <x:v>15768</x:v>
      </x:c>
      <x:c r="J79" s="79" t="n">
        <x:v>242.6</x:v>
      </x:c>
      <x:c r="K79" s="80" t="n">
        <x:f>J79*'Assumptions &amp; Sources'!$B$7</x:f>
        <x:v>2911.2</x:v>
      </x:c>
      <x:c r="L79" s="80" t="n">
        <x:f>I79+K79</x:f>
        <x:v>18679.2</x:v>
      </x:c>
      <x:c r="M79" s="80" t="n">
        <x:f>G79+I79+K79</x:f>
        <x:v>63970.8</x:v>
      </x:c>
      <x:c r="N79" s="80" t="n">
        <x:f>L79*'Dashboard'!$K$4/(1-'Dashboard'!$K$4)</x:f>
        <x:v>5268.492307692308</x:v>
      </x:c>
      <x:c r="O79" s="80" t="n">
        <x:f>M79+N79</x:f>
        <x:v>69239.29230769232</x:v>
      </x:c>
      <x:c r="P79" s="30" t="str">
        <x:v>OGDEN/HILL AFB, UT (UT291)</x:v>
      </x:c>
      <x:c r="Q79" s="30" t="str">
        <x:v>Year=2013; ZIP=84056; Pay grade=O-2; Dependents=With dependents</x:v>
      </x:c>
      <x:c r="R79" s="76" t="str">
        <x:v>https://www.dfas.mil/Portals/98/MilPayTable2013_1.pdf</x:v>
      </x:c>
      <x:c r="S79" s="76" t="str">
        <x:v>https://www.travel.dod.mil/Allowances/Basic-Allowance-for-Housing/BAH-Rate-Lookup/</x:v>
      </x:c>
      <x:c r="T79" s="76" t="str">
        <x:v>https://www.dfas.mil/militarymembers/payentitlements/Pay-Tables/bas/</x:v>
      </x:c>
    </x:row>
    <x:row r="80">
      <x:c r="A80" s="19" t="n">
        <x:v>2013</x:v>
      </x:c>
      <x:c r="B80" s="19" t="str">
        <x:v>Actual</x:v>
      </x:c>
      <x:c r="C80" s="19" t="str">
        <x:v>O-3</x:v>
      </x:c>
      <x:c r="D80" s="19" t="str">
        <x:v>O-3 over 6</x:v>
      </x:c>
      <x:c r="E80" s="69" t="n">
        <x:v>0</x:v>
      </x:c>
      <x:c r="F80" s="79" t="n">
        <x:v>5361.6</x:v>
      </x:c>
      <x:c r="G80" s="80" t="n">
        <x:f>F80*'Assumptions &amp; Sources'!$B$7</x:f>
        <x:v>64339.200000000004</x:v>
      </x:c>
      <x:c r="H80" s="79" t="n">
        <x:v>1422</x:v>
      </x:c>
      <x:c r="I80" s="80" t="n">
        <x:f>H80*'Assumptions &amp; Sources'!$B$7</x:f>
        <x:v>17064</x:v>
      </x:c>
      <x:c r="J80" s="79" t="n">
        <x:v>242.6</x:v>
      </x:c>
      <x:c r="K80" s="80" t="n">
        <x:f>J80*'Assumptions &amp; Sources'!$B$7</x:f>
        <x:v>2911.2</x:v>
      </x:c>
      <x:c r="L80" s="80" t="n">
        <x:f>I80+K80</x:f>
        <x:v>19975.2</x:v>
      </x:c>
      <x:c r="M80" s="80" t="n">
        <x:f>G80+I80+K80</x:f>
        <x:v>84314.40000000001</x:v>
      </x:c>
      <x:c r="N80" s="80" t="n">
        <x:f>L80*'Dashboard'!$K$4/(1-'Dashboard'!$K$4)</x:f>
        <x:v>5634.030769230769</x:v>
      </x:c>
      <x:c r="O80" s="80" t="n">
        <x:f>M80+N80</x:f>
        <x:v>89948.43076923078</x:v>
      </x:c>
      <x:c r="P80" s="30" t="str">
        <x:v>OGDEN/HILL AFB, UT (UT291)</x:v>
      </x:c>
      <x:c r="Q80" s="30" t="str">
        <x:v>Year=2013; ZIP=84056; Pay grade=O-3; Dependents=With dependents</x:v>
      </x:c>
      <x:c r="R80" s="76" t="str">
        <x:v>https://www.dfas.mil/Portals/98/MilPayTable2013_1.pdf</x:v>
      </x:c>
      <x:c r="S80" s="76" t="str">
        <x:v>https://www.travel.dod.mil/Allowances/Basic-Allowance-for-Housing/BAH-Rate-Lookup/</x:v>
      </x:c>
      <x:c r="T80" s="76" t="str">
        <x:v>https://www.dfas.mil/militarymembers/payentitlements/Pay-Tables/bas/</x:v>
      </x:c>
    </x:row>
    <x:row r="81">
      <x:c r="A81" s="19" t="n">
        <x:v>2013</x:v>
      </x:c>
      <x:c r="B81" s="19" t="str">
        <x:v>Actual</x:v>
      </x:c>
      <x:c r="C81" s="19" t="str">
        <x:v>O-4</x:v>
      </x:c>
      <x:c r="D81" s="19" t="str">
        <x:v>O-4 over 10</x:v>
      </x:c>
      <x:c r="E81" s="69" t="n">
        <x:v>0</x:v>
      </x:c>
      <x:c r="F81" s="79" t="n">
        <x:v>6527.7</x:v>
      </x:c>
      <x:c r="G81" s="80" t="n">
        <x:f>F81*'Assumptions &amp; Sources'!$B$7</x:f>
        <x:v>78332.4</x:v>
      </x:c>
      <x:c r="H81" s="79" t="n">
        <x:v>1527</x:v>
      </x:c>
      <x:c r="I81" s="80" t="n">
        <x:f>H81*'Assumptions &amp; Sources'!$B$7</x:f>
        <x:v>18324</x:v>
      </x:c>
      <x:c r="J81" s="79" t="n">
        <x:v>242.6</x:v>
      </x:c>
      <x:c r="K81" s="80" t="n">
        <x:f>J81*'Assumptions &amp; Sources'!$B$7</x:f>
        <x:v>2911.2</x:v>
      </x:c>
      <x:c r="L81" s="80" t="n">
        <x:f>I81+K81</x:f>
        <x:v>21235.2</x:v>
      </x:c>
      <x:c r="M81" s="80" t="n">
        <x:f>G81+I81+K81</x:f>
        <x:v>99567.59999999999</x:v>
      </x:c>
      <x:c r="N81" s="80" t="n">
        <x:f>L81*'Dashboard'!$K$4/(1-'Dashboard'!$K$4)</x:f>
        <x:v>5989.415384615385</x:v>
      </x:c>
      <x:c r="O81" s="80" t="n">
        <x:f>M81+N81</x:f>
        <x:v>105557.01538461537</x:v>
      </x:c>
      <x:c r="P81" s="30" t="str">
        <x:v>OGDEN/HILL AFB, UT (UT291)</x:v>
      </x:c>
      <x:c r="Q81" s="30" t="str">
        <x:v>Year=2013; ZIP=84056; Pay grade=O-4; Dependents=With dependents</x:v>
      </x:c>
      <x:c r="R81" s="76" t="str">
        <x:v>https://www.dfas.mil/Portals/98/MilPayTable2013_1.pdf</x:v>
      </x:c>
      <x:c r="S81" s="76" t="str">
        <x:v>https://www.travel.dod.mil/Allowances/Basic-Allowance-for-Housing/BAH-Rate-Lookup/</x:v>
      </x:c>
      <x:c r="T81" s="76" t="str">
        <x:v>https://www.dfas.mil/militarymembers/payentitlements/Pay-Tables/bas/</x:v>
      </x:c>
    </x:row>
    <x:row r="82">
      <x:c r="A82" s="19" t="n">
        <x:v>2013</x:v>
      </x:c>
      <x:c r="B82" s="19" t="str">
        <x:v>Actual</x:v>
      </x:c>
      <x:c r="C82" s="19" t="str">
        <x:v>O-5</x:v>
      </x:c>
      <x:c r="D82" s="19" t="str">
        <x:v>O-5 over 16</x:v>
      </x:c>
      <x:c r="E82" s="69" t="n">
        <x:v>0</x:v>
      </x:c>
      <x:c r="F82" s="79" t="n">
        <x:v>7895.1</x:v>
      </x:c>
      <x:c r="G82" s="80" t="n">
        <x:f>F82*'Assumptions &amp; Sources'!$B$7</x:f>
        <x:v>94741.20000000001</x:v>
      </x:c>
      <x:c r="H82" s="79" t="n">
        <x:v>1602</x:v>
      </x:c>
      <x:c r="I82" s="80" t="n">
        <x:f>H82*'Assumptions &amp; Sources'!$B$7</x:f>
        <x:v>19224</x:v>
      </x:c>
      <x:c r="J82" s="79" t="n">
        <x:v>242.6</x:v>
      </x:c>
      <x:c r="K82" s="80" t="n">
        <x:f>J82*'Assumptions &amp; Sources'!$B$7</x:f>
        <x:v>2911.2</x:v>
      </x:c>
      <x:c r="L82" s="80" t="n">
        <x:f>I82+K82</x:f>
        <x:v>22135.2</x:v>
      </x:c>
      <x:c r="M82" s="80" t="n">
        <x:f>G82+I82+K82</x:f>
        <x:v>116876.40000000001</x:v>
      </x:c>
      <x:c r="N82" s="80" t="n">
        <x:f>L82*'Dashboard'!$K$4/(1-'Dashboard'!$K$4)</x:f>
        <x:v>6243.261538461539</x:v>
      </x:c>
      <x:c r="O82" s="80" t="n">
        <x:f>M82+N82</x:f>
        <x:v>123119.66153846154</x:v>
      </x:c>
      <x:c r="P82" s="30" t="str">
        <x:v>OGDEN/HILL AFB, UT (UT291)</x:v>
      </x:c>
      <x:c r="Q82" s="30" t="str">
        <x:v>Year=2013; ZIP=84056; Pay grade=O-5; Dependents=With dependents</x:v>
      </x:c>
      <x:c r="R82" s="76" t="str">
        <x:v>https://www.dfas.mil/Portals/98/MilPayTable2013_1.pdf</x:v>
      </x:c>
      <x:c r="S82" s="76" t="str">
        <x:v>https://www.travel.dod.mil/Allowances/Basic-Allowance-for-Housing/BAH-Rate-Lookup/</x:v>
      </x:c>
      <x:c r="T82" s="76" t="str">
        <x:v>https://www.dfas.mil/militarymembers/payentitlements/Pay-Tables/bas/</x:v>
      </x:c>
    </x:row>
    <x:row r="83">
      <x:c r="A83" s="19" t="n">
        <x:v>2013</x:v>
      </x:c>
      <x:c r="B83" s="19" t="str">
        <x:v>Actual</x:v>
      </x:c>
      <x:c r="C83" s="19" t="str">
        <x:v>O-6</x:v>
      </x:c>
      <x:c r="D83" s="19" t="str">
        <x:v>O-6 over 22</x:v>
      </x:c>
      <x:c r="E83" s="69" t="n">
        <x:v>0</x:v>
      </x:c>
      <x:c r="F83" s="79" t="n">
        <x:v>9780.6</x:v>
      </x:c>
      <x:c r="G83" s="80" t="n">
        <x:f>F83*'Assumptions &amp; Sources'!$B$7</x:f>
        <x:v>117367.20000000001</x:v>
      </x:c>
      <x:c r="H83" s="79" t="n">
        <x:v>1620</x:v>
      </x:c>
      <x:c r="I83" s="80" t="n">
        <x:f>H83*'Assumptions &amp; Sources'!$B$7</x:f>
        <x:v>19440</x:v>
      </x:c>
      <x:c r="J83" s="79" t="n">
        <x:v>242.6</x:v>
      </x:c>
      <x:c r="K83" s="80" t="n">
        <x:f>J83*'Assumptions &amp; Sources'!$B$7</x:f>
        <x:v>2911.2</x:v>
      </x:c>
      <x:c r="L83" s="80" t="n">
        <x:f>I83+K83</x:f>
        <x:v>22351.2</x:v>
      </x:c>
      <x:c r="M83" s="80" t="n">
        <x:f>G83+I83+K83</x:f>
        <x:v>139718.40000000002</x:v>
      </x:c>
      <x:c r="N83" s="80" t="n">
        <x:f>L83*'Dashboard'!$K$4/(1-'Dashboard'!$K$4)</x:f>
        <x:v>6304.184615384615</x:v>
      </x:c>
      <x:c r="O83" s="80" t="n">
        <x:f>M83+N83</x:f>
        <x:v>146022.58461538464</x:v>
      </x:c>
      <x:c r="P83" s="30" t="str">
        <x:v>OGDEN/HILL AFB, UT (UT291)</x:v>
      </x:c>
      <x:c r="Q83" s="30" t="str">
        <x:v>Year=2013; ZIP=84056; Pay grade=O-6; Dependents=With dependents</x:v>
      </x:c>
      <x:c r="R83" s="76" t="str">
        <x:v>https://www.dfas.mil/Portals/98/MilPayTable2013_1.pdf</x:v>
      </x:c>
      <x:c r="S83" s="76" t="str">
        <x:v>https://www.travel.dod.mil/Allowances/Basic-Allowance-for-Housing/BAH-Rate-Lookup/</x:v>
      </x:c>
      <x:c r="T83" s="76" t="str">
        <x:v>https://www.dfas.mil/militarymembers/payentitlements/Pay-Tables/bas/</x:v>
      </x:c>
    </x:row>
    <x:row r="84">
      <x:c r="A84" s="19" t="n">
        <x:v>2014</x:v>
      </x:c>
      <x:c r="B84" s="19" t="str">
        <x:v>Actual</x:v>
      </x:c>
      <x:c r="C84" s="19" t="str">
        <x:v>O-1</x:v>
      </x:c>
      <x:c r="D84" s="19" t="str">
        <x:v>O-1 under 2</x:v>
      </x:c>
      <x:c r="E84" s="69" t="n">
        <x:v>0</x:v>
      </x:c>
      <x:c r="F84" s="79" t="n">
        <x:v>2905.2</x:v>
      </x:c>
      <x:c r="G84" s="80" t="n">
        <x:f>F84*'Assumptions &amp; Sources'!$B$7</x:f>
        <x:v>34862.399999999994</x:v>
      </x:c>
      <x:c r="H84" s="79" t="n">
        <x:v>1125</x:v>
      </x:c>
      <x:c r="I84" s="80" t="n">
        <x:f>H84*'Assumptions &amp; Sources'!$B$7</x:f>
        <x:v>13500</x:v>
      </x:c>
      <x:c r="J84" s="79" t="n">
        <x:v>246.24</x:v>
      </x:c>
      <x:c r="K84" s="80" t="n">
        <x:f>J84*'Assumptions &amp; Sources'!$B$7</x:f>
        <x:v>2954.88</x:v>
      </x:c>
      <x:c r="L84" s="80" t="n">
        <x:f>I84+K84</x:f>
        <x:v>16454.88</x:v>
      </x:c>
      <x:c r="M84" s="80" t="n">
        <x:f>G84+I84+K84</x:f>
        <x:v>51317.27999999999</x:v>
      </x:c>
      <x:c r="N84" s="80" t="n">
        <x:f>L84*'Dashboard'!$K$4/(1-'Dashboard'!$K$4)</x:f>
        <x:v>4641.12</x:v>
      </x:c>
      <x:c r="O84" s="80" t="n">
        <x:f>M84+N84</x:f>
        <x:v>55958.399999999994</x:v>
      </x:c>
      <x:c r="P84" s="30" t="str">
        <x:v>OGDEN/HILL AFB, UT (UT291)</x:v>
      </x:c>
      <x:c r="Q84" s="30" t="str">
        <x:v>Year=2014; ZIP=84056; Pay grade=O-1; Dependents=With dependents</x:v>
      </x:c>
      <x:c r="R84" s="76" t="str">
        <x:v>https://www.dfas.mil/Portals/98/Documents/Military%20Members/Payentitlements/MilPayTable2014.pdf?ver=2020-05-29-095914-557</x:v>
      </x:c>
      <x:c r="S84" s="76" t="str">
        <x:v>https://www.travel.dod.mil/Allowances/Basic-Allowance-for-Housing/BAH-Rate-Lookup/</x:v>
      </x:c>
      <x:c r="T84" s="76" t="str">
        <x:v>https://www.dfas.mil/militarymembers/payentitlements/Pay-Tables/bas/</x:v>
      </x:c>
    </x:row>
    <x:row r="85">
      <x:c r="A85" s="19" t="n">
        <x:v>2014</x:v>
      </x:c>
      <x:c r="B85" s="19" t="str">
        <x:v>Actual</x:v>
      </x:c>
      <x:c r="C85" s="19" t="str">
        <x:v>O-2</x:v>
      </x:c>
      <x:c r="D85" s="19" t="str">
        <x:v>O-2 over 2</x:v>
      </x:c>
      <x:c r="E85" s="69" t="n">
        <x:v>0</x:v>
      </x:c>
      <x:c r="F85" s="79" t="n">
        <x:v>3812.1</x:v>
      </x:c>
      <x:c r="G85" s="80" t="n">
        <x:f>F85*'Assumptions &amp; Sources'!$B$7</x:f>
        <x:v>45745.2</x:v>
      </x:c>
      <x:c r="H85" s="79" t="n">
        <x:v>1260</x:v>
      </x:c>
      <x:c r="I85" s="80" t="n">
        <x:f>H85*'Assumptions &amp; Sources'!$B$7</x:f>
        <x:v>15120</x:v>
      </x:c>
      <x:c r="J85" s="79" t="n">
        <x:v>246.24</x:v>
      </x:c>
      <x:c r="K85" s="80" t="n">
        <x:f>J85*'Assumptions &amp; Sources'!$B$7</x:f>
        <x:v>2954.88</x:v>
      </x:c>
      <x:c r="L85" s="80" t="n">
        <x:f>I85+K85</x:f>
        <x:v>18074.88</x:v>
      </x:c>
      <x:c r="M85" s="80" t="n">
        <x:f>G85+I85+K85</x:f>
        <x:v>63820.079999999994</x:v>
      </x:c>
      <x:c r="N85" s="80" t="n">
        <x:f>L85*'Dashboard'!$K$4/(1-'Dashboard'!$K$4)</x:f>
        <x:v>5098.043076923077</x:v>
      </x:c>
      <x:c r="O85" s="80" t="n">
        <x:f>M85+N85</x:f>
        <x:v>68918.12307692308</x:v>
      </x:c>
      <x:c r="P85" s="30" t="str">
        <x:v>OGDEN/HILL AFB, UT (UT291)</x:v>
      </x:c>
      <x:c r="Q85" s="30" t="str">
        <x:v>Year=2014; ZIP=84056; Pay grade=O-2; Dependents=With dependents</x:v>
      </x:c>
      <x:c r="R85" s="76" t="str">
        <x:v>https://www.dfas.mil/Portals/98/Documents/Military%20Members/Payentitlements/MilPayTable2014.pdf?ver=2020-05-29-095914-557</x:v>
      </x:c>
      <x:c r="S85" s="76" t="str">
        <x:v>https://www.travel.dod.mil/Allowances/Basic-Allowance-for-Housing/BAH-Rate-Lookup/</x:v>
      </x:c>
      <x:c r="T85" s="76" t="str">
        <x:v>https://www.dfas.mil/militarymembers/payentitlements/Pay-Tables/bas/</x:v>
      </x:c>
    </x:row>
    <x:row r="86">
      <x:c r="A86" s="19" t="n">
        <x:v>2014</x:v>
      </x:c>
      <x:c r="B86" s="19" t="str">
        <x:v>Actual</x:v>
      </x:c>
      <x:c r="C86" s="19" t="str">
        <x:v>O-3</x:v>
      </x:c>
      <x:c r="D86" s="19" t="str">
        <x:v>O-3 over 6</x:v>
      </x:c>
      <x:c r="E86" s="69" t="n">
        <x:v>0</x:v>
      </x:c>
      <x:c r="F86" s="79" t="n">
        <x:v>5415.3</x:v>
      </x:c>
      <x:c r="G86" s="80" t="n">
        <x:f>F86*'Assumptions &amp; Sources'!$B$7</x:f>
        <x:v>64983.600000000006</x:v>
      </x:c>
      <x:c r="H86" s="79" t="n">
        <x:v>1473</x:v>
      </x:c>
      <x:c r="I86" s="80" t="n">
        <x:f>H86*'Assumptions &amp; Sources'!$B$7</x:f>
        <x:v>17676</x:v>
      </x:c>
      <x:c r="J86" s="79" t="n">
        <x:v>246.24</x:v>
      </x:c>
      <x:c r="K86" s="80" t="n">
        <x:f>J86*'Assumptions &amp; Sources'!$B$7</x:f>
        <x:v>2954.88</x:v>
      </x:c>
      <x:c r="L86" s="80" t="n">
        <x:f>I86+K86</x:f>
        <x:v>20630.88</x:v>
      </x:c>
      <x:c r="M86" s="80" t="n">
        <x:f>G86+I86+K86</x:f>
        <x:v>85614.48000000001</x:v>
      </x:c>
      <x:c r="N86" s="80" t="n">
        <x:f>L86*'Dashboard'!$K$4/(1-'Dashboard'!$K$4)</x:f>
        <x:v>5818.966153846153</x:v>
      </x:c>
      <x:c r="O86" s="80" t="n">
        <x:f>M86+N86</x:f>
        <x:v>91433.44615384616</x:v>
      </x:c>
      <x:c r="P86" s="30" t="str">
        <x:v>OGDEN/HILL AFB, UT (UT291)</x:v>
      </x:c>
      <x:c r="Q86" s="30" t="str">
        <x:v>Year=2014; ZIP=84056; Pay grade=O-3; Dependents=With dependents</x:v>
      </x:c>
      <x:c r="R86" s="76" t="str">
        <x:v>https://www.dfas.mil/Portals/98/Documents/Military%20Members/Payentitlements/MilPayTable2014.pdf?ver=2020-05-29-095914-557</x:v>
      </x:c>
      <x:c r="S86" s="76" t="str">
        <x:v>https://www.travel.dod.mil/Allowances/Basic-Allowance-for-Housing/BAH-Rate-Lookup/</x:v>
      </x:c>
      <x:c r="T86" s="76" t="str">
        <x:v>https://www.dfas.mil/militarymembers/payentitlements/Pay-Tables/bas/</x:v>
      </x:c>
    </x:row>
    <x:row r="87">
      <x:c r="A87" s="19" t="n">
        <x:v>2014</x:v>
      </x:c>
      <x:c r="B87" s="19" t="str">
        <x:v>Actual</x:v>
      </x:c>
      <x:c r="C87" s="19" t="str">
        <x:v>O-4</x:v>
      </x:c>
      <x:c r="D87" s="19" t="str">
        <x:v>O-4 over 10</x:v>
      </x:c>
      <x:c r="E87" s="69" t="n">
        <x:v>0</x:v>
      </x:c>
      <x:c r="F87" s="79" t="n">
        <x:v>6593.1</x:v>
      </x:c>
      <x:c r="G87" s="80" t="n">
        <x:f>F87*'Assumptions &amp; Sources'!$B$7</x:f>
        <x:v>79117.20000000001</x:v>
      </x:c>
      <x:c r="H87" s="79" t="n">
        <x:v>1527</x:v>
      </x:c>
      <x:c r="I87" s="80" t="n">
        <x:f>H87*'Assumptions &amp; Sources'!$B$7</x:f>
        <x:v>18324</x:v>
      </x:c>
      <x:c r="J87" s="79" t="n">
        <x:v>246.24</x:v>
      </x:c>
      <x:c r="K87" s="80" t="n">
        <x:f>J87*'Assumptions &amp; Sources'!$B$7</x:f>
        <x:v>2954.88</x:v>
      </x:c>
      <x:c r="L87" s="80" t="n">
        <x:f>I87+K87</x:f>
        <x:v>21278.88</x:v>
      </x:c>
      <x:c r="M87" s="80" t="n">
        <x:f>G87+I87+K87</x:f>
        <x:v>100396.08000000002</x:v>
      </x:c>
      <x:c r="N87" s="80" t="n">
        <x:f>L87*'Dashboard'!$K$4/(1-'Dashboard'!$K$4)</x:f>
        <x:v>6001.735384615385</x:v>
      </x:c>
      <x:c r="O87" s="80" t="n">
        <x:f>M87+N87</x:f>
        <x:v>106397.8153846154</x:v>
      </x:c>
      <x:c r="P87" s="30" t="str">
        <x:v>OGDEN/HILL AFB, UT (UT291)</x:v>
      </x:c>
      <x:c r="Q87" s="30" t="str">
        <x:v>Year=2014; ZIP=84056; Pay grade=O-4; Dependents=With dependents</x:v>
      </x:c>
      <x:c r="R87" s="76" t="str">
        <x:v>https://www.dfas.mil/Portals/98/Documents/Military%20Members/Payentitlements/MilPayTable2014.pdf?ver=2020-05-29-095914-557</x:v>
      </x:c>
      <x:c r="S87" s="76" t="str">
        <x:v>https://www.travel.dod.mil/Allowances/Basic-Allowance-for-Housing/BAH-Rate-Lookup/</x:v>
      </x:c>
      <x:c r="T87" s="76" t="str">
        <x:v>https://www.dfas.mil/militarymembers/payentitlements/Pay-Tables/bas/</x:v>
      </x:c>
    </x:row>
    <x:row r="88">
      <x:c r="A88" s="19" t="n">
        <x:v>2014</x:v>
      </x:c>
      <x:c r="B88" s="19" t="str">
        <x:v>Actual</x:v>
      </x:c>
      <x:c r="C88" s="19" t="str">
        <x:v>O-5</x:v>
      </x:c>
      <x:c r="D88" s="19" t="str">
        <x:v>O-5 over 16</x:v>
      </x:c>
      <x:c r="E88" s="69" t="n">
        <x:v>0</x:v>
      </x:c>
      <x:c r="F88" s="79" t="n">
        <x:v>7974</x:v>
      </x:c>
      <x:c r="G88" s="80" t="n">
        <x:f>F88*'Assumptions &amp; Sources'!$B$7</x:f>
        <x:v>95688</x:v>
      </x:c>
      <x:c r="H88" s="79" t="n">
        <x:v>1566</x:v>
      </x:c>
      <x:c r="I88" s="80" t="n">
        <x:f>H88*'Assumptions &amp; Sources'!$B$7</x:f>
        <x:v>18792</x:v>
      </x:c>
      <x:c r="J88" s="79" t="n">
        <x:v>246.24</x:v>
      </x:c>
      <x:c r="K88" s="80" t="n">
        <x:f>J88*'Assumptions &amp; Sources'!$B$7</x:f>
        <x:v>2954.88</x:v>
      </x:c>
      <x:c r="L88" s="80" t="n">
        <x:f>I88+K88</x:f>
        <x:v>21746.88</x:v>
      </x:c>
      <x:c r="M88" s="80" t="n">
        <x:f>G88+I88+K88</x:f>
        <x:v>117434.88</x:v>
      </x:c>
      <x:c r="N88" s="80" t="n">
        <x:f>L88*'Dashboard'!$K$4/(1-'Dashboard'!$K$4)</x:f>
        <x:v>6133.735384615385</x:v>
      </x:c>
      <x:c r="O88" s="80" t="n">
        <x:f>M88+N88</x:f>
        <x:v>123568.61538461539</x:v>
      </x:c>
      <x:c r="P88" s="30" t="str">
        <x:v>OGDEN/HILL AFB, UT (UT291)</x:v>
      </x:c>
      <x:c r="Q88" s="30" t="str">
        <x:v>Year=2014; ZIP=84056; Pay grade=O-5; Dependents=With dependents</x:v>
      </x:c>
      <x:c r="R88" s="76" t="str">
        <x:v>https://www.dfas.mil/Portals/98/Documents/Military%20Members/Payentitlements/MilPayTable2014.pdf?ver=2020-05-29-095914-557</x:v>
      </x:c>
      <x:c r="S88" s="76" t="str">
        <x:v>https://www.travel.dod.mil/Allowances/Basic-Allowance-for-Housing/BAH-Rate-Lookup/</x:v>
      </x:c>
      <x:c r="T88" s="76" t="str">
        <x:v>https://www.dfas.mil/militarymembers/payentitlements/Pay-Tables/bas/</x:v>
      </x:c>
    </x:row>
    <x:row r="89">
      <x:c r="A89" s="19" t="n">
        <x:v>2014</x:v>
      </x:c>
      <x:c r="B89" s="19" t="str">
        <x:v>Actual</x:v>
      </x:c>
      <x:c r="C89" s="19" t="str">
        <x:v>O-6</x:v>
      </x:c>
      <x:c r="D89" s="19" t="str">
        <x:v>O-6 over 22</x:v>
      </x:c>
      <x:c r="E89" s="69" t="n">
        <x:v>0</x:v>
      </x:c>
      <x:c r="F89" s="79" t="n">
        <x:v>9878.4</x:v>
      </x:c>
      <x:c r="G89" s="80" t="n">
        <x:f>F89*'Assumptions &amp; Sources'!$B$7</x:f>
        <x:v>118540.79999999999</x:v>
      </x:c>
      <x:c r="H89" s="79" t="n">
        <x:v>1581</x:v>
      </x:c>
      <x:c r="I89" s="80" t="n">
        <x:f>H89*'Assumptions &amp; Sources'!$B$7</x:f>
        <x:v>18972</x:v>
      </x:c>
      <x:c r="J89" s="79" t="n">
        <x:v>246.24</x:v>
      </x:c>
      <x:c r="K89" s="80" t="n">
        <x:f>J89*'Assumptions &amp; Sources'!$B$7</x:f>
        <x:v>2954.88</x:v>
      </x:c>
      <x:c r="L89" s="80" t="n">
        <x:f>I89+K89</x:f>
        <x:v>21926.88</x:v>
      </x:c>
      <x:c r="M89" s="80" t="n">
        <x:f>G89+I89+K89</x:f>
        <x:v>140467.68</x:v>
      </x:c>
      <x:c r="N89" s="80" t="n">
        <x:f>L89*'Dashboard'!$K$4/(1-'Dashboard'!$K$4)</x:f>
        <x:v>6184.504615384615</x:v>
      </x:c>
      <x:c r="O89" s="80" t="n">
        <x:f>M89+N89</x:f>
        <x:v>146652.1846153846</x:v>
      </x:c>
      <x:c r="P89" s="30" t="str">
        <x:v>OGDEN/HILL AFB, UT (UT291)</x:v>
      </x:c>
      <x:c r="Q89" s="30" t="str">
        <x:v>Year=2014; ZIP=84056; Pay grade=O-6; Dependents=With dependents</x:v>
      </x:c>
      <x:c r="R89" s="76" t="str">
        <x:v>https://www.dfas.mil/Portals/98/Documents/Military%20Members/Payentitlements/MilPayTable2014.pdf?ver=2020-05-29-095914-557</x:v>
      </x:c>
      <x:c r="S89" s="76" t="str">
        <x:v>https://www.travel.dod.mil/Allowances/Basic-Allowance-for-Housing/BAH-Rate-Lookup/</x:v>
      </x:c>
      <x:c r="T89" s="76" t="str">
        <x:v>https://www.dfas.mil/militarymembers/payentitlements/Pay-Tables/bas/</x:v>
      </x:c>
    </x:row>
    <x:row r="90">
      <x:c r="A90" s="19" t="n">
        <x:v>2015</x:v>
      </x:c>
      <x:c r="B90" s="19" t="str">
        <x:v>Actual</x:v>
      </x:c>
      <x:c r="C90" s="19" t="str">
        <x:v>O-1</x:v>
      </x:c>
      <x:c r="D90" s="19" t="str">
        <x:v>O-1 under 2</x:v>
      </x:c>
      <x:c r="E90" s="69" t="n">
        <x:v>0</x:v>
      </x:c>
      <x:c r="F90" s="79" t="n">
        <x:v>2934.3</x:v>
      </x:c>
      <x:c r="G90" s="80" t="n">
        <x:f>F90*'Assumptions &amp; Sources'!$B$7</x:f>
        <x:v>35211.600000000006</x:v>
      </x:c>
      <x:c r="H90" s="79" t="n">
        <x:v>1014</x:v>
      </x:c>
      <x:c r="I90" s="80" t="n">
        <x:f>H90*'Assumptions &amp; Sources'!$B$7</x:f>
        <x:v>12168</x:v>
      </x:c>
      <x:c r="J90" s="79" t="n">
        <x:v>253.38</x:v>
      </x:c>
      <x:c r="K90" s="80" t="n">
        <x:f>J90*'Assumptions &amp; Sources'!$B$7</x:f>
        <x:v>3040.56</x:v>
      </x:c>
      <x:c r="L90" s="80" t="n">
        <x:f>I90+K90</x:f>
        <x:v>15208.56</x:v>
      </x:c>
      <x:c r="M90" s="80" t="n">
        <x:f>G90+I90+K90</x:f>
        <x:v>50420.16</x:v>
      </x:c>
      <x:c r="N90" s="80" t="n">
        <x:f>L90*'Dashboard'!$K$4/(1-'Dashboard'!$K$4)</x:f>
        <x:v>4289.593846153845</x:v>
      </x:c>
      <x:c r="O90" s="80" t="n">
        <x:f>M90+N90</x:f>
        <x:v>54709.75384615385</x:v>
      </x:c>
      <x:c r="P90" s="30" t="str">
        <x:v>OGDEN/HILL AFB, UT (UT291)</x:v>
      </x:c>
      <x:c r="Q90" s="30" t="str">
        <x:v>Year=2015; ZIP=84056; Pay grade=O-1; Dependents=With dependents</x:v>
      </x:c>
      <x:c r="R90" s="76" t="str">
        <x:v>https://www.dfas.mil/Portals/98/2015MilitaryPayChart_2.pdf</x:v>
      </x:c>
      <x:c r="S90" s="76" t="str">
        <x:v>https://www.travel.dod.mil/Allowances/Basic-Allowance-for-Housing/BAH-Rate-Lookup/</x:v>
      </x:c>
      <x:c r="T90" s="76" t="str">
        <x:v>https://www.dfas.mil/militarymembers/payentitlements/Pay-Tables/bas/</x:v>
      </x:c>
    </x:row>
    <x:row r="91">
      <x:c r="A91" s="19" t="n">
        <x:v>2015</x:v>
      </x:c>
      <x:c r="B91" s="19" t="str">
        <x:v>Actual</x:v>
      </x:c>
      <x:c r="C91" s="19" t="str">
        <x:v>O-2</x:v>
      </x:c>
      <x:c r="D91" s="19" t="str">
        <x:v>O-2 over 2</x:v>
      </x:c>
      <x:c r="E91" s="69" t="n">
        <x:v>0</x:v>
      </x:c>
      <x:c r="F91" s="79" t="n">
        <x:v>3850.2</x:v>
      </x:c>
      <x:c r="G91" s="80" t="n">
        <x:f>F91*'Assumptions &amp; Sources'!$B$7</x:f>
        <x:v>46202.399999999994</x:v>
      </x:c>
      <x:c r="H91" s="79" t="n">
        <x:v>1182</x:v>
      </x:c>
      <x:c r="I91" s="80" t="n">
        <x:f>H91*'Assumptions &amp; Sources'!$B$7</x:f>
        <x:v>14184</x:v>
      </x:c>
      <x:c r="J91" s="79" t="n">
        <x:v>253.38</x:v>
      </x:c>
      <x:c r="K91" s="80" t="n">
        <x:f>J91*'Assumptions &amp; Sources'!$B$7</x:f>
        <x:v>3040.56</x:v>
      </x:c>
      <x:c r="L91" s="80" t="n">
        <x:f>I91+K91</x:f>
        <x:v>17224.56</x:v>
      </x:c>
      <x:c r="M91" s="80" t="n">
        <x:f>G91+I91+K91</x:f>
        <x:v>63426.95999999999</x:v>
      </x:c>
      <x:c r="N91" s="80" t="n">
        <x:f>L91*'Dashboard'!$K$4/(1-'Dashboard'!$K$4)</x:f>
        <x:v>4858.209230769231</x:v>
      </x:c>
      <x:c r="O91" s="80" t="n">
        <x:f>M91+N91</x:f>
        <x:v>68285.16923076923</x:v>
      </x:c>
      <x:c r="P91" s="30" t="str">
        <x:v>OGDEN/HILL AFB, UT (UT291)</x:v>
      </x:c>
      <x:c r="Q91" s="30" t="str">
        <x:v>Year=2015; ZIP=84056; Pay grade=O-2; Dependents=With dependents</x:v>
      </x:c>
      <x:c r="R91" s="76" t="str">
        <x:v>https://www.dfas.mil/Portals/98/2015MilitaryPayChart_2.pdf</x:v>
      </x:c>
      <x:c r="S91" s="76" t="str">
        <x:v>https://www.travel.dod.mil/Allowances/Basic-Allowance-for-Housing/BAH-Rate-Lookup/</x:v>
      </x:c>
      <x:c r="T91" s="76" t="str">
        <x:v>https://www.dfas.mil/militarymembers/payentitlements/Pay-Tables/bas/</x:v>
      </x:c>
    </x:row>
    <x:row r="92">
      <x:c r="A92" s="19" t="n">
        <x:v>2015</x:v>
      </x:c>
      <x:c r="B92" s="19" t="str">
        <x:v>Actual</x:v>
      </x:c>
      <x:c r="C92" s="19" t="str">
        <x:v>O-3</x:v>
      </x:c>
      <x:c r="D92" s="19" t="str">
        <x:v>O-3 over 6</x:v>
      </x:c>
      <x:c r="E92" s="69" t="n">
        <x:v>0</x:v>
      </x:c>
      <x:c r="F92" s="79" t="n">
        <x:v>5469.6</x:v>
      </x:c>
      <x:c r="G92" s="80" t="n">
        <x:f>F92*'Assumptions &amp; Sources'!$B$7</x:f>
        <x:v>65635.20000000001</x:v>
      </x:c>
      <x:c r="H92" s="79" t="n">
        <x:v>1365</x:v>
      </x:c>
      <x:c r="I92" s="80" t="n">
        <x:f>H92*'Assumptions &amp; Sources'!$B$7</x:f>
        <x:v>16380</x:v>
      </x:c>
      <x:c r="J92" s="79" t="n">
        <x:v>253.38</x:v>
      </x:c>
      <x:c r="K92" s="80" t="n">
        <x:f>J92*'Assumptions &amp; Sources'!$B$7</x:f>
        <x:v>3040.56</x:v>
      </x:c>
      <x:c r="L92" s="80" t="n">
        <x:f>I92+K92</x:f>
        <x:v>19420.56</x:v>
      </x:c>
      <x:c r="M92" s="80" t="n">
        <x:f>G92+I92+K92</x:f>
        <x:v>85055.76000000001</x:v>
      </x:c>
      <x:c r="N92" s="80" t="n">
        <x:f>L92*'Dashboard'!$K$4/(1-'Dashboard'!$K$4)</x:f>
        <x:v>5477.593846153846</x:v>
      </x:c>
      <x:c r="O92" s="80" t="n">
        <x:f>M92+N92</x:f>
        <x:v>90533.35384615386</x:v>
      </x:c>
      <x:c r="P92" s="30" t="str">
        <x:v>OGDEN/HILL AFB, UT (UT291)</x:v>
      </x:c>
      <x:c r="Q92" s="30" t="str">
        <x:v>Year=2015; ZIP=84056; Pay grade=O-3; Dependents=With dependents</x:v>
      </x:c>
      <x:c r="R92" s="76" t="str">
        <x:v>https://www.dfas.mil/Portals/98/2015MilitaryPayChart_2.pdf</x:v>
      </x:c>
      <x:c r="S92" s="76" t="str">
        <x:v>https://www.travel.dod.mil/Allowances/Basic-Allowance-for-Housing/BAH-Rate-Lookup/</x:v>
      </x:c>
      <x:c r="T92" s="76" t="str">
        <x:v>https://www.dfas.mil/militarymembers/payentitlements/Pay-Tables/bas/</x:v>
      </x:c>
    </x:row>
    <x:row r="93">
      <x:c r="A93" s="19" t="n">
        <x:v>2015</x:v>
      </x:c>
      <x:c r="B93" s="19" t="str">
        <x:v>Actual</x:v>
      </x:c>
      <x:c r="C93" s="19" t="str">
        <x:v>O-4</x:v>
      </x:c>
      <x:c r="D93" s="19" t="str">
        <x:v>O-4 over 10</x:v>
      </x:c>
      <x:c r="E93" s="69" t="n">
        <x:v>0</x:v>
      </x:c>
      <x:c r="F93" s="79" t="n">
        <x:v>6659.1</x:v>
      </x:c>
      <x:c r="G93" s="80" t="n">
        <x:f>F93*'Assumptions &amp; Sources'!$B$7</x:f>
        <x:v>79909.20000000001</x:v>
      </x:c>
      <x:c r="H93" s="79" t="n">
        <x:v>1458</x:v>
      </x:c>
      <x:c r="I93" s="80" t="n">
        <x:f>H93*'Assumptions &amp; Sources'!$B$7</x:f>
        <x:v>17496</x:v>
      </x:c>
      <x:c r="J93" s="79" t="n">
        <x:v>253.38</x:v>
      </x:c>
      <x:c r="K93" s="80" t="n">
        <x:f>J93*'Assumptions &amp; Sources'!$B$7</x:f>
        <x:v>3040.56</x:v>
      </x:c>
      <x:c r="L93" s="80" t="n">
        <x:f>I93+K93</x:f>
        <x:v>20536.56</x:v>
      </x:c>
      <x:c r="M93" s="80" t="n">
        <x:f>G93+I93+K93</x:f>
        <x:v>100445.76000000001</x:v>
      </x:c>
      <x:c r="N93" s="80" t="n">
        <x:f>L93*'Dashboard'!$K$4/(1-'Dashboard'!$K$4)</x:f>
        <x:v>5792.363076923077</x:v>
      </x:c>
      <x:c r="O93" s="80" t="n">
        <x:f>M93+N93</x:f>
        <x:v>106238.12307692309</x:v>
      </x:c>
      <x:c r="P93" s="30" t="str">
        <x:v>OGDEN/HILL AFB, UT (UT291)</x:v>
      </x:c>
      <x:c r="Q93" s="30" t="str">
        <x:v>Year=2015; ZIP=84056; Pay grade=O-4; Dependents=With dependents</x:v>
      </x:c>
      <x:c r="R93" s="76" t="str">
        <x:v>https://www.dfas.mil/Portals/98/2015MilitaryPayChart_2.pdf</x:v>
      </x:c>
      <x:c r="S93" s="76" t="str">
        <x:v>https://www.travel.dod.mil/Allowances/Basic-Allowance-for-Housing/BAH-Rate-Lookup/</x:v>
      </x:c>
      <x:c r="T93" s="76" t="str">
        <x:v>https://www.dfas.mil/militarymembers/payentitlements/Pay-Tables/bas/</x:v>
      </x:c>
    </x:row>
    <x:row r="94">
      <x:c r="A94" s="19" t="n">
        <x:v>2015</x:v>
      </x:c>
      <x:c r="B94" s="19" t="str">
        <x:v>Actual</x:v>
      </x:c>
      <x:c r="C94" s="19" t="str">
        <x:v>O-5</x:v>
      </x:c>
      <x:c r="D94" s="19" t="str">
        <x:v>O-5 over 16</x:v>
      </x:c>
      <x:c r="E94" s="69" t="n">
        <x:v>0</x:v>
      </x:c>
      <x:c r="F94" s="79" t="n">
        <x:v>8053.8</x:v>
      </x:c>
      <x:c r="G94" s="80" t="n">
        <x:f>F94*'Assumptions &amp; Sources'!$B$7</x:f>
        <x:v>96645.6</x:v>
      </x:c>
      <x:c r="H94" s="79" t="n">
        <x:v>1524</x:v>
      </x:c>
      <x:c r="I94" s="80" t="n">
        <x:f>H94*'Assumptions &amp; Sources'!$B$7</x:f>
        <x:v>18288</x:v>
      </x:c>
      <x:c r="J94" s="79" t="n">
        <x:v>253.38</x:v>
      </x:c>
      <x:c r="K94" s="80" t="n">
        <x:f>J94*'Assumptions &amp; Sources'!$B$7</x:f>
        <x:v>3040.56</x:v>
      </x:c>
      <x:c r="L94" s="80" t="n">
        <x:f>I94+K94</x:f>
        <x:v>21328.56</x:v>
      </x:c>
      <x:c r="M94" s="80" t="n">
        <x:f>G94+I94+K94</x:f>
        <x:v>117974.16</x:v>
      </x:c>
      <x:c r="N94" s="80" t="n">
        <x:f>L94*'Dashboard'!$K$4/(1-'Dashboard'!$K$4)</x:f>
        <x:v>6015.747692307693</x:v>
      </x:c>
      <x:c r="O94" s="80" t="n">
        <x:f>M94+N94</x:f>
        <x:v>123989.9076923077</x:v>
      </x:c>
      <x:c r="P94" s="30" t="str">
        <x:v>OGDEN/HILL AFB, UT (UT291)</x:v>
      </x:c>
      <x:c r="Q94" s="30" t="str">
        <x:v>Year=2015; ZIP=84056; Pay grade=O-5; Dependents=With dependents</x:v>
      </x:c>
      <x:c r="R94" s="76" t="str">
        <x:v>https://www.dfas.mil/Portals/98/2015MilitaryPayChart_2.pdf</x:v>
      </x:c>
      <x:c r="S94" s="76" t="str">
        <x:v>https://www.travel.dod.mil/Allowances/Basic-Allowance-for-Housing/BAH-Rate-Lookup/</x:v>
      </x:c>
      <x:c r="T94" s="76" t="str">
        <x:v>https://www.dfas.mil/militarymembers/payentitlements/Pay-Tables/bas/</x:v>
      </x:c>
    </x:row>
    <x:row r="95">
      <x:c r="A95" s="19" t="n">
        <x:v>2015</x:v>
      </x:c>
      <x:c r="B95" s="19" t="str">
        <x:v>Actual</x:v>
      </x:c>
      <x:c r="C95" s="19" t="str">
        <x:v>O-6</x:v>
      </x:c>
      <x:c r="D95" s="19" t="str">
        <x:v>O-6 over 22</x:v>
      </x:c>
      <x:c r="E95" s="69" t="n">
        <x:v>0</x:v>
      </x:c>
      <x:c r="F95" s="79" t="n">
        <x:v>9977.1</x:v>
      </x:c>
      <x:c r="G95" s="80" t="n">
        <x:f>F95*'Assumptions &amp; Sources'!$B$7</x:f>
        <x:v>119725.20000000001</x:v>
      </x:c>
      <x:c r="H95" s="79" t="n">
        <x:v>1539</x:v>
      </x:c>
      <x:c r="I95" s="80" t="n">
        <x:f>H95*'Assumptions &amp; Sources'!$B$7</x:f>
        <x:v>18468</x:v>
      </x:c>
      <x:c r="J95" s="79" t="n">
        <x:v>253.38</x:v>
      </x:c>
      <x:c r="K95" s="80" t="n">
        <x:f>J95*'Assumptions &amp; Sources'!$B$7</x:f>
        <x:v>3040.56</x:v>
      </x:c>
      <x:c r="L95" s="80" t="n">
        <x:f>I95+K95</x:f>
        <x:v>21508.56</x:v>
      </x:c>
      <x:c r="M95" s="80" t="n">
        <x:f>G95+I95+K95</x:f>
        <x:v>141233.76</x:v>
      </x:c>
      <x:c r="N95" s="80" t="n">
        <x:f>L95*'Dashboard'!$K$4/(1-'Dashboard'!$K$4)</x:f>
        <x:v>6066.516923076923</x:v>
      </x:c>
      <x:c r="O95" s="80" t="n">
        <x:f>M95+N95</x:f>
        <x:v>147300.27692307692</x:v>
      </x:c>
      <x:c r="P95" s="30" t="str">
        <x:v>OGDEN/HILL AFB, UT (UT291)</x:v>
      </x:c>
      <x:c r="Q95" s="30" t="str">
        <x:v>Year=2015; ZIP=84056; Pay grade=O-6; Dependents=With dependents</x:v>
      </x:c>
      <x:c r="R95" s="76" t="str">
        <x:v>https://www.dfas.mil/Portals/98/2015MilitaryPayChart_2.pdf</x:v>
      </x:c>
      <x:c r="S95" s="76" t="str">
        <x:v>https://www.travel.dod.mil/Allowances/Basic-Allowance-for-Housing/BAH-Rate-Lookup/</x:v>
      </x:c>
      <x:c r="T95" s="76" t="str">
        <x:v>https://www.dfas.mil/militarymembers/payentitlements/Pay-Tables/bas/</x:v>
      </x:c>
    </x:row>
    <x:row r="96">
      <x:c r="A96" s="19" t="n">
        <x:v>2016</x:v>
      </x:c>
      <x:c r="B96" s="19" t="str">
        <x:v>Actual</x:v>
      </x:c>
      <x:c r="C96" s="19" t="str">
        <x:v>O-1</x:v>
      </x:c>
      <x:c r="D96" s="19" t="str">
        <x:v>O-1 under 2</x:v>
      </x:c>
      <x:c r="E96" s="69" t="n">
        <x:v>0</x:v>
      </x:c>
      <x:c r="F96" s="79" t="n">
        <x:v>2972.4</x:v>
      </x:c>
      <x:c r="G96" s="80" t="n">
        <x:f>F96*'Assumptions &amp; Sources'!$B$7</x:f>
        <x:v>35668.8</x:v>
      </x:c>
      <x:c r="H96" s="79" t="n">
        <x:v>1143</x:v>
      </x:c>
      <x:c r="I96" s="80" t="n">
        <x:f>H96*'Assumptions &amp; Sources'!$B$7</x:f>
        <x:v>13716</x:v>
      </x:c>
      <x:c r="J96" s="79" t="n">
        <x:v>253.63</x:v>
      </x:c>
      <x:c r="K96" s="80" t="n">
        <x:f>J96*'Assumptions &amp; Sources'!$B$7</x:f>
        <x:v>3043.56</x:v>
      </x:c>
      <x:c r="L96" s="80" t="n">
        <x:f>I96+K96</x:f>
        <x:v>16759.56</x:v>
      </x:c>
      <x:c r="M96" s="80" t="n">
        <x:f>G96+I96+K96</x:f>
        <x:v>52428.36</x:v>
      </x:c>
      <x:c r="N96" s="80" t="n">
        <x:f>L96*'Dashboard'!$K$4/(1-'Dashboard'!$K$4)</x:f>
        <x:v>4727.055384615385</x:v>
      </x:c>
      <x:c r="O96" s="80" t="n">
        <x:f>M96+N96</x:f>
        <x:v>57155.415384615386</x:v>
      </x:c>
      <x:c r="P96" s="30" t="str">
        <x:v>OGDEN/HILL AFB, UT (UT291)</x:v>
      </x:c>
      <x:c r="Q96" s="30" t="str">
        <x:v>Year=2016; ZIP=84056; Pay grade=O-1; Dependents=With dependents</x:v>
      </x:c>
      <x:c r="R96" s="76" t="str">
        <x:v>https://www.dfas.mil/Portals/98/2016MilitaryPayChart.pdf</x:v>
      </x:c>
      <x:c r="S96" s="76" t="str">
        <x:v>https://www.travel.dod.mil/Allowances/Basic-Allowance-for-Housing/BAH-Rate-Lookup/</x:v>
      </x:c>
      <x:c r="T96" s="76" t="str">
        <x:v>https://www.dfas.mil/militarymembers/payentitlements/Pay-Tables/bas/</x:v>
      </x:c>
    </x:row>
    <x:row r="97">
      <x:c r="A97" s="19" t="n">
        <x:v>2016</x:v>
      </x:c>
      <x:c r="B97" s="19" t="str">
        <x:v>Actual</x:v>
      </x:c>
      <x:c r="C97" s="19" t="str">
        <x:v>O-2</x:v>
      </x:c>
      <x:c r="D97" s="19" t="str">
        <x:v>O-2 over 2</x:v>
      </x:c>
      <x:c r="E97" s="69" t="n">
        <x:v>0</x:v>
      </x:c>
      <x:c r="F97" s="79" t="n">
        <x:v>3900.3</x:v>
      </x:c>
      <x:c r="G97" s="80" t="n">
        <x:f>F97*'Assumptions &amp; Sources'!$B$7</x:f>
        <x:v>46803.600000000006</x:v>
      </x:c>
      <x:c r="H97" s="79" t="n">
        <x:v>1302</x:v>
      </x:c>
      <x:c r="I97" s="80" t="n">
        <x:f>H97*'Assumptions &amp; Sources'!$B$7</x:f>
        <x:v>15624</x:v>
      </x:c>
      <x:c r="J97" s="79" t="n">
        <x:v>253.63</x:v>
      </x:c>
      <x:c r="K97" s="80" t="n">
        <x:f>J97*'Assumptions &amp; Sources'!$B$7</x:f>
        <x:v>3043.56</x:v>
      </x:c>
      <x:c r="L97" s="80" t="n">
        <x:f>I97+K97</x:f>
        <x:v>18667.56</x:v>
      </x:c>
      <x:c r="M97" s="80" t="n">
        <x:f>G97+I97+K97</x:f>
        <x:v>65471.16</x:v>
      </x:c>
      <x:c r="N97" s="80" t="n">
        <x:f>L97*'Dashboard'!$K$4/(1-'Dashboard'!$K$4)</x:f>
        <x:v>5265.209230769232</x:v>
      </x:c>
      <x:c r="O97" s="80" t="n">
        <x:f>M97+N97</x:f>
        <x:v>70736.36923076924</x:v>
      </x:c>
      <x:c r="P97" s="30" t="str">
        <x:v>OGDEN/HILL AFB, UT (UT291)</x:v>
      </x:c>
      <x:c r="Q97" s="30" t="str">
        <x:v>Year=2016; ZIP=84056; Pay grade=O-2; Dependents=With dependents</x:v>
      </x:c>
      <x:c r="R97" s="76" t="str">
        <x:v>https://www.dfas.mil/Portals/98/2016MilitaryPayChart.pdf</x:v>
      </x:c>
      <x:c r="S97" s="76" t="str">
        <x:v>https://www.travel.dod.mil/Allowances/Basic-Allowance-for-Housing/BAH-Rate-Lookup/</x:v>
      </x:c>
      <x:c r="T97" s="76" t="str">
        <x:v>https://www.dfas.mil/militarymembers/payentitlements/Pay-Tables/bas/</x:v>
      </x:c>
    </x:row>
    <x:row r="98">
      <x:c r="A98" s="19" t="n">
        <x:v>2016</x:v>
      </x:c>
      <x:c r="B98" s="19" t="str">
        <x:v>Actual</x:v>
      </x:c>
      <x:c r="C98" s="19" t="str">
        <x:v>O-3</x:v>
      </x:c>
      <x:c r="D98" s="19" t="str">
        <x:v>O-3 over 6</x:v>
      </x:c>
      <x:c r="E98" s="69" t="n">
        <x:v>0</x:v>
      </x:c>
      <x:c r="F98" s="79" t="n">
        <x:v>5540.7</x:v>
      </x:c>
      <x:c r="G98" s="80" t="n">
        <x:f>F98*'Assumptions &amp; Sources'!$B$7</x:f>
        <x:v>66488.4</x:v>
      </x:c>
      <x:c r="H98" s="79" t="n">
        <x:v>1434</x:v>
      </x:c>
      <x:c r="I98" s="80" t="n">
        <x:f>H98*'Assumptions &amp; Sources'!$B$7</x:f>
        <x:v>17208</x:v>
      </x:c>
      <x:c r="J98" s="79" t="n">
        <x:v>253.63</x:v>
      </x:c>
      <x:c r="K98" s="80" t="n">
        <x:f>J98*'Assumptions &amp; Sources'!$B$7</x:f>
        <x:v>3043.56</x:v>
      </x:c>
      <x:c r="L98" s="80" t="n">
        <x:f>I98+K98</x:f>
        <x:v>20251.56</x:v>
      </x:c>
      <x:c r="M98" s="80" t="n">
        <x:f>G98+I98+K98</x:f>
        <x:v>86739.95999999999</x:v>
      </x:c>
      <x:c r="N98" s="80" t="n">
        <x:f>L98*'Dashboard'!$K$4/(1-'Dashboard'!$K$4)</x:f>
        <x:v>5711.9784615384615</x:v>
      </x:c>
      <x:c r="O98" s="80" t="n">
        <x:f>M98+N98</x:f>
        <x:v>92451.93846153845</x:v>
      </x:c>
      <x:c r="P98" s="30" t="str">
        <x:v>OGDEN/HILL AFB, UT (UT291)</x:v>
      </x:c>
      <x:c r="Q98" s="30" t="str">
        <x:v>Year=2016; ZIP=84056; Pay grade=O-3; Dependents=With dependents</x:v>
      </x:c>
      <x:c r="R98" s="76" t="str">
        <x:v>https://www.dfas.mil/Portals/98/2016MilitaryPayChart.pdf</x:v>
      </x:c>
      <x:c r="S98" s="76" t="str">
        <x:v>https://www.travel.dod.mil/Allowances/Basic-Allowance-for-Housing/BAH-Rate-Lookup/</x:v>
      </x:c>
      <x:c r="T98" s="76" t="str">
        <x:v>https://www.dfas.mil/militarymembers/payentitlements/Pay-Tables/bas/</x:v>
      </x:c>
    </x:row>
    <x:row r="99">
      <x:c r="A99" s="19" t="n">
        <x:v>2016</x:v>
      </x:c>
      <x:c r="B99" s="19" t="str">
        <x:v>Actual</x:v>
      </x:c>
      <x:c r="C99" s="19" t="str">
        <x:v>O-4</x:v>
      </x:c>
      <x:c r="D99" s="19" t="str">
        <x:v>O-4 over 10</x:v>
      </x:c>
      <x:c r="E99" s="69" t="n">
        <x:v>0</x:v>
      </x:c>
      <x:c r="F99" s="79" t="n">
        <x:v>6745.8</x:v>
      </x:c>
      <x:c r="G99" s="80" t="n">
        <x:f>F99*'Assumptions &amp; Sources'!$B$7</x:f>
        <x:v>80949.6</x:v>
      </x:c>
      <x:c r="H99" s="79" t="n">
        <x:v>1548</x:v>
      </x:c>
      <x:c r="I99" s="80" t="n">
        <x:f>H99*'Assumptions &amp; Sources'!$B$7</x:f>
        <x:v>18576</x:v>
      </x:c>
      <x:c r="J99" s="79" t="n">
        <x:v>253.63</x:v>
      </x:c>
      <x:c r="K99" s="80" t="n">
        <x:f>J99*'Assumptions &amp; Sources'!$B$7</x:f>
        <x:v>3043.56</x:v>
      </x:c>
      <x:c r="L99" s="80" t="n">
        <x:f>I99+K99</x:f>
        <x:v>21619.56</x:v>
      </x:c>
      <x:c r="M99" s="80" t="n">
        <x:f>G99+I99+K99</x:f>
        <x:v>102569.16</x:v>
      </x:c>
      <x:c r="N99" s="80" t="n">
        <x:f>L99*'Dashboard'!$K$4/(1-'Dashboard'!$K$4)</x:f>
        <x:v>6097.824615384616</x:v>
      </x:c>
      <x:c r="O99" s="80" t="n">
        <x:f>M99+N99</x:f>
        <x:v>108666.98461538462</x:v>
      </x:c>
      <x:c r="P99" s="30" t="str">
        <x:v>OGDEN/HILL AFB, UT (UT291)</x:v>
      </x:c>
      <x:c r="Q99" s="30" t="str">
        <x:v>Year=2016; ZIP=84056; Pay grade=O-4; Dependents=With dependents</x:v>
      </x:c>
      <x:c r="R99" s="76" t="str">
        <x:v>https://www.dfas.mil/Portals/98/2016MilitaryPayChart.pdf</x:v>
      </x:c>
      <x:c r="S99" s="76" t="str">
        <x:v>https://www.travel.dod.mil/Allowances/Basic-Allowance-for-Housing/BAH-Rate-Lookup/</x:v>
      </x:c>
      <x:c r="T99" s="76" t="str">
        <x:v>https://www.dfas.mil/militarymembers/payentitlements/Pay-Tables/bas/</x:v>
      </x:c>
    </x:row>
    <x:row r="100">
      <x:c r="A100" s="19" t="n">
        <x:v>2016</x:v>
      </x:c>
      <x:c r="B100" s="19" t="str">
        <x:v>Actual</x:v>
      </x:c>
      <x:c r="C100" s="19" t="str">
        <x:v>O-5</x:v>
      </x:c>
      <x:c r="D100" s="19" t="str">
        <x:v>O-5 over 16</x:v>
      </x:c>
      <x:c r="E100" s="69" t="n">
        <x:v>0</x:v>
      </x:c>
      <x:c r="F100" s="79" t="n">
        <x:v>8158.5</x:v>
      </x:c>
      <x:c r="G100" s="80" t="n">
        <x:f>F100*'Assumptions &amp; Sources'!$B$7</x:f>
        <x:v>97902</x:v>
      </x:c>
      <x:c r="H100" s="79" t="n">
        <x:v>1632</x:v>
      </x:c>
      <x:c r="I100" s="80" t="n">
        <x:f>H100*'Assumptions &amp; Sources'!$B$7</x:f>
        <x:v>19584</x:v>
      </x:c>
      <x:c r="J100" s="79" t="n">
        <x:v>253.63</x:v>
      </x:c>
      <x:c r="K100" s="80" t="n">
        <x:f>J100*'Assumptions &amp; Sources'!$B$7</x:f>
        <x:v>3043.56</x:v>
      </x:c>
      <x:c r="L100" s="80" t="n">
        <x:f>I100+K100</x:f>
        <x:v>22627.56</x:v>
      </x:c>
      <x:c r="M100" s="80" t="n">
        <x:f>G100+I100+K100</x:f>
        <x:v>120529.56</x:v>
      </x:c>
      <x:c r="N100" s="80" t="n">
        <x:f>L100*'Dashboard'!$K$4/(1-'Dashboard'!$K$4)</x:f>
        <x:v>6382.132307692308</x:v>
      </x:c>
      <x:c r="O100" s="80" t="n">
        <x:f>M100+N100</x:f>
        <x:v>126911.69230769231</x:v>
      </x:c>
      <x:c r="P100" s="30" t="str">
        <x:v>OGDEN/HILL AFB, UT (UT291)</x:v>
      </x:c>
      <x:c r="Q100" s="30" t="str">
        <x:v>Year=2016; ZIP=84056; Pay grade=O-5; Dependents=With dependents</x:v>
      </x:c>
      <x:c r="R100" s="76" t="str">
        <x:v>https://www.dfas.mil/Portals/98/2016MilitaryPayChart.pdf</x:v>
      </x:c>
      <x:c r="S100" s="76" t="str">
        <x:v>https://www.travel.dod.mil/Allowances/Basic-Allowance-for-Housing/BAH-Rate-Lookup/</x:v>
      </x:c>
      <x:c r="T100" s="76" t="str">
        <x:v>https://www.dfas.mil/militarymembers/payentitlements/Pay-Tables/bas/</x:v>
      </x:c>
    </x:row>
    <x:row r="101">
      <x:c r="A101" s="19" t="n">
        <x:v>2016</x:v>
      </x:c>
      <x:c r="B101" s="19" t="str">
        <x:v>Actual</x:v>
      </x:c>
      <x:c r="C101" s="19" t="str">
        <x:v>O-6</x:v>
      </x:c>
      <x:c r="D101" s="19" t="str">
        <x:v>O-6 over 22</x:v>
      </x:c>
      <x:c r="E101" s="69" t="n">
        <x:v>0</x:v>
      </x:c>
      <x:c r="F101" s="79" t="n">
        <x:v>10106.7</x:v>
      </x:c>
      <x:c r="G101" s="80" t="n">
        <x:f>F101*'Assumptions &amp; Sources'!$B$7</x:f>
        <x:v>121280.40000000001</x:v>
      </x:c>
      <x:c r="H101" s="79" t="n">
        <x:v>1644</x:v>
      </x:c>
      <x:c r="I101" s="80" t="n">
        <x:f>H101*'Assumptions &amp; Sources'!$B$7</x:f>
        <x:v>19728</x:v>
      </x:c>
      <x:c r="J101" s="79" t="n">
        <x:v>253.63</x:v>
      </x:c>
      <x:c r="K101" s="80" t="n">
        <x:f>J101*'Assumptions &amp; Sources'!$B$7</x:f>
        <x:v>3043.56</x:v>
      </x:c>
      <x:c r="L101" s="80" t="n">
        <x:f>I101+K101</x:f>
        <x:v>22771.56</x:v>
      </x:c>
      <x:c r="M101" s="80" t="n">
        <x:f>G101+I101+K101</x:f>
        <x:v>144051.96000000002</x:v>
      </x:c>
      <x:c r="N101" s="80" t="n">
        <x:f>L101*'Dashboard'!$K$4/(1-'Dashboard'!$K$4)</x:f>
        <x:v>6422.747692307692</x:v>
      </x:c>
      <x:c r="O101" s="80" t="n">
        <x:f>M101+N101</x:f>
        <x:v>150474.7076923077</x:v>
      </x:c>
      <x:c r="P101" s="30" t="str">
        <x:v>OGDEN/HILL AFB, UT (UT291)</x:v>
      </x:c>
      <x:c r="Q101" s="30" t="str">
        <x:v>Year=2016; ZIP=84056; Pay grade=O-6; Dependents=With dependents</x:v>
      </x:c>
      <x:c r="R101" s="76" t="str">
        <x:v>https://www.dfas.mil/Portals/98/2016MilitaryPayChart.pdf</x:v>
      </x:c>
      <x:c r="S101" s="76" t="str">
        <x:v>https://www.travel.dod.mil/Allowances/Basic-Allowance-for-Housing/BAH-Rate-Lookup/</x:v>
      </x:c>
      <x:c r="T101" s="76" t="str">
        <x:v>https://www.dfas.mil/militarymembers/payentitlements/Pay-Tables/bas/</x:v>
      </x:c>
    </x:row>
    <x:row r="102">
      <x:c r="A102" s="19" t="n">
        <x:v>2017</x:v>
      </x:c>
      <x:c r="B102" s="19" t="str">
        <x:v>Actual</x:v>
      </x:c>
      <x:c r="C102" s="19" t="str">
        <x:v>O-1</x:v>
      </x:c>
      <x:c r="D102" s="19" t="str">
        <x:v>O-1 under 2</x:v>
      </x:c>
      <x:c r="E102" s="69" t="n">
        <x:v>0</x:v>
      </x:c>
      <x:c r="F102" s="79" t="n">
        <x:v>3034.8</x:v>
      </x:c>
      <x:c r="G102" s="80" t="n">
        <x:f>F102*'Assumptions &amp; Sources'!$B$7</x:f>
        <x:v>36417.600000000006</x:v>
      </x:c>
      <x:c r="H102" s="79" t="n">
        <x:v>1167</x:v>
      </x:c>
      <x:c r="I102" s="80" t="n">
        <x:f>H102*'Assumptions &amp; Sources'!$B$7</x:f>
        <x:v>14004</x:v>
      </x:c>
      <x:c r="J102" s="79" t="n">
        <x:v>253.63</x:v>
      </x:c>
      <x:c r="K102" s="80" t="n">
        <x:f>J102*'Assumptions &amp; Sources'!$B$7</x:f>
        <x:v>3043.56</x:v>
      </x:c>
      <x:c r="L102" s="80" t="n">
        <x:f>I102+K102</x:f>
        <x:v>17047.56</x:v>
      </x:c>
      <x:c r="M102" s="80" t="n">
        <x:f>G102+I102+K102</x:f>
        <x:v>53465.16</x:v>
      </x:c>
      <x:c r="N102" s="80" t="n">
        <x:f>L102*'Dashboard'!$K$4/(1-'Dashboard'!$K$4)</x:f>
        <x:v>4808.286153846154</x:v>
      </x:c>
      <x:c r="O102" s="80" t="n">
        <x:f>M102+N102</x:f>
        <x:v>58273.446153846155</x:v>
      </x:c>
      <x:c r="P102" s="30" t="str">
        <x:v>OGDEN/HILL AFB, UT (UT291)</x:v>
      </x:c>
      <x:c r="Q102" s="30" t="str">
        <x:v>Year=2017; ZIP=84056; Pay grade=O-1; Dependents=With dependents</x:v>
      </x:c>
      <x:c r="R102" s="76" t="str">
        <x:v>https://www.dfas.mil/Portals/98/2017MilitaryPayChart.pdf</x:v>
      </x:c>
      <x:c r="S102" s="76" t="str">
        <x:v>https://www.travel.dod.mil/Allowances/Basic-Allowance-for-Housing/BAH-Rate-Lookup/</x:v>
      </x:c>
      <x:c r="T102" s="76" t="str">
        <x:v>https://www.dfas.mil/militarymembers/payentitlements/Pay-Tables/bas/</x:v>
      </x:c>
    </x:row>
    <x:row r="103">
      <x:c r="A103" s="19" t="n">
        <x:v>2017</x:v>
      </x:c>
      <x:c r="B103" s="19" t="str">
        <x:v>Actual</x:v>
      </x:c>
      <x:c r="C103" s="19" t="str">
        <x:v>O-2</x:v>
      </x:c>
      <x:c r="D103" s="19" t="str">
        <x:v>O-2 over 2</x:v>
      </x:c>
      <x:c r="E103" s="69" t="n">
        <x:v>0</x:v>
      </x:c>
      <x:c r="F103" s="79" t="n">
        <x:v>3982.2</x:v>
      </x:c>
      <x:c r="G103" s="80" t="n">
        <x:f>F103*'Assumptions &amp; Sources'!$B$7</x:f>
        <x:v>47786.399999999994</x:v>
      </x:c>
      <x:c r="H103" s="79" t="n">
        <x:v>1320</x:v>
      </x:c>
      <x:c r="I103" s="80" t="n">
        <x:f>H103*'Assumptions &amp; Sources'!$B$7</x:f>
        <x:v>15840</x:v>
      </x:c>
      <x:c r="J103" s="79" t="n">
        <x:v>253.63</x:v>
      </x:c>
      <x:c r="K103" s="80" t="n">
        <x:f>J103*'Assumptions &amp; Sources'!$B$7</x:f>
        <x:v>3043.56</x:v>
      </x:c>
      <x:c r="L103" s="80" t="n">
        <x:f>I103+K103</x:f>
        <x:v>18883.56</x:v>
      </x:c>
      <x:c r="M103" s="80" t="n">
        <x:f>G103+I103+K103</x:f>
        <x:v>66669.95999999999</x:v>
      </x:c>
      <x:c r="N103" s="80" t="n">
        <x:f>L103*'Dashboard'!$K$4/(1-'Dashboard'!$K$4)</x:f>
        <x:v>5326.132307692308</x:v>
      </x:c>
      <x:c r="O103" s="80" t="n">
        <x:f>M103+N103</x:f>
        <x:v>71996.0923076923</x:v>
      </x:c>
      <x:c r="P103" s="30" t="str">
        <x:v>OGDEN/HILL AFB, UT (UT291)</x:v>
      </x:c>
      <x:c r="Q103" s="30" t="str">
        <x:v>Year=2017; ZIP=84056; Pay grade=O-2; Dependents=With dependents</x:v>
      </x:c>
      <x:c r="R103" s="76" t="str">
        <x:v>https://www.dfas.mil/Portals/98/2017MilitaryPayChart.pdf</x:v>
      </x:c>
      <x:c r="S103" s="76" t="str">
        <x:v>https://www.travel.dod.mil/Allowances/Basic-Allowance-for-Housing/BAH-Rate-Lookup/</x:v>
      </x:c>
      <x:c r="T103" s="76" t="str">
        <x:v>https://www.dfas.mil/militarymembers/payentitlements/Pay-Tables/bas/</x:v>
      </x:c>
    </x:row>
    <x:row r="104">
      <x:c r="A104" s="19" t="n">
        <x:v>2017</x:v>
      </x:c>
      <x:c r="B104" s="19" t="str">
        <x:v>Actual</x:v>
      </x:c>
      <x:c r="C104" s="19" t="str">
        <x:v>O-3</x:v>
      </x:c>
      <x:c r="D104" s="19" t="str">
        <x:v>O-3 over 6</x:v>
      </x:c>
      <x:c r="E104" s="69" t="n">
        <x:v>0</x:v>
      </x:c>
      <x:c r="F104" s="79" t="n">
        <x:v>5657.1</x:v>
      </x:c>
      <x:c r="G104" s="80" t="n">
        <x:f>F104*'Assumptions &amp; Sources'!$B$7</x:f>
        <x:v>67885.20000000001</x:v>
      </x:c>
      <x:c r="H104" s="79" t="n">
        <x:v>1482</x:v>
      </x:c>
      <x:c r="I104" s="80" t="n">
        <x:f>H104*'Assumptions &amp; Sources'!$B$7</x:f>
        <x:v>17784</x:v>
      </x:c>
      <x:c r="J104" s="79" t="n">
        <x:v>253.63</x:v>
      </x:c>
      <x:c r="K104" s="80" t="n">
        <x:f>J104*'Assumptions &amp; Sources'!$B$7</x:f>
        <x:v>3043.56</x:v>
      </x:c>
      <x:c r="L104" s="80" t="n">
        <x:f>I104+K104</x:f>
        <x:v>20827.56</x:v>
      </x:c>
      <x:c r="M104" s="80" t="n">
        <x:f>G104+I104+K104</x:f>
        <x:v>88712.76000000001</x:v>
      </x:c>
      <x:c r="N104" s="80" t="n">
        <x:f>L104*'Dashboard'!$K$4/(1-'Dashboard'!$K$4)</x:f>
        <x:v>5874.4400000000005</x:v>
      </x:c>
      <x:c r="O104" s="80" t="n">
        <x:f>M104+N104</x:f>
        <x:v>94587.20000000001</x:v>
      </x:c>
      <x:c r="P104" s="30" t="str">
        <x:v>OGDEN/HILL AFB, UT (UT291)</x:v>
      </x:c>
      <x:c r="Q104" s="30" t="str">
        <x:v>Year=2017; ZIP=84056; Pay grade=O-3; Dependents=With dependents</x:v>
      </x:c>
      <x:c r="R104" s="76" t="str">
        <x:v>https://www.dfas.mil/Portals/98/2017MilitaryPayChart.pdf</x:v>
      </x:c>
      <x:c r="S104" s="76" t="str">
        <x:v>https://www.travel.dod.mil/Allowances/Basic-Allowance-for-Housing/BAH-Rate-Lookup/</x:v>
      </x:c>
      <x:c r="T104" s="76" t="str">
        <x:v>https://www.dfas.mil/militarymembers/payentitlements/Pay-Tables/bas/</x:v>
      </x:c>
    </x:row>
    <x:row r="105">
      <x:c r="A105" s="19" t="n">
        <x:v>2017</x:v>
      </x:c>
      <x:c r="B105" s="19" t="str">
        <x:v>Actual</x:v>
      </x:c>
      <x:c r="C105" s="19" t="str">
        <x:v>O-4</x:v>
      </x:c>
      <x:c r="D105" s="19" t="str">
        <x:v>O-4 over 10</x:v>
      </x:c>
      <x:c r="E105" s="69" t="n">
        <x:v>0</x:v>
      </x:c>
      <x:c r="F105" s="79" t="n">
        <x:v>6887.4</x:v>
      </x:c>
      <x:c r="G105" s="80" t="n">
        <x:f>F105*'Assumptions &amp; Sources'!$B$7</x:f>
        <x:v>82648.79999999999</x:v>
      </x:c>
      <x:c r="H105" s="79" t="n">
        <x:v>1623</x:v>
      </x:c>
      <x:c r="I105" s="80" t="n">
        <x:f>H105*'Assumptions &amp; Sources'!$B$7</x:f>
        <x:v>19476</x:v>
      </x:c>
      <x:c r="J105" s="79" t="n">
        <x:v>253.63</x:v>
      </x:c>
      <x:c r="K105" s="80" t="n">
        <x:f>J105*'Assumptions &amp; Sources'!$B$7</x:f>
        <x:v>3043.56</x:v>
      </x:c>
      <x:c r="L105" s="80" t="n">
        <x:f>I105+K105</x:f>
        <x:v>22519.56</x:v>
      </x:c>
      <x:c r="M105" s="80" t="n">
        <x:f>G105+I105+K105</x:f>
        <x:v>105168.35999999999</x:v>
      </x:c>
      <x:c r="N105" s="80" t="n">
        <x:f>L105*'Dashboard'!$K$4/(1-'Dashboard'!$K$4)</x:f>
        <x:v>6351.670769230769</x:v>
      </x:c>
      <x:c r="O105" s="80" t="n">
        <x:f>M105+N105</x:f>
        <x:v>111520.03076923075</x:v>
      </x:c>
      <x:c r="P105" s="30" t="str">
        <x:v>OGDEN/HILL AFB, UT (UT291)</x:v>
      </x:c>
      <x:c r="Q105" s="30" t="str">
        <x:v>Year=2017; ZIP=84056; Pay grade=O-4; Dependents=With dependents</x:v>
      </x:c>
      <x:c r="R105" s="76" t="str">
        <x:v>https://www.dfas.mil/Portals/98/2017MilitaryPayChart.pdf</x:v>
      </x:c>
      <x:c r="S105" s="76" t="str">
        <x:v>https://www.travel.dod.mil/Allowances/Basic-Allowance-for-Housing/BAH-Rate-Lookup/</x:v>
      </x:c>
      <x:c r="T105" s="76" t="str">
        <x:v>https://www.dfas.mil/militarymembers/payentitlements/Pay-Tables/bas/</x:v>
      </x:c>
    </x:row>
    <x:row r="106">
      <x:c r="A106" s="19" t="n">
        <x:v>2017</x:v>
      </x:c>
      <x:c r="B106" s="19" t="str">
        <x:v>Actual</x:v>
      </x:c>
      <x:c r="C106" s="19" t="str">
        <x:v>O-5</x:v>
      </x:c>
      <x:c r="D106" s="19" t="str">
        <x:v>O-5 over 16</x:v>
      </x:c>
      <x:c r="E106" s="69" t="n">
        <x:v>0</x:v>
      </x:c>
      <x:c r="F106" s="79" t="n">
        <x:v>8329.8</x:v>
      </x:c>
      <x:c r="G106" s="80" t="n">
        <x:f>F106*'Assumptions &amp; Sources'!$B$7</x:f>
        <x:v>99957.59999999999</x:v>
      </x:c>
      <x:c r="H106" s="79" t="n">
        <x:v>1722</x:v>
      </x:c>
      <x:c r="I106" s="80" t="n">
        <x:f>H106*'Assumptions &amp; Sources'!$B$7</x:f>
        <x:v>20664</x:v>
      </x:c>
      <x:c r="J106" s="79" t="n">
        <x:v>253.63</x:v>
      </x:c>
      <x:c r="K106" s="80" t="n">
        <x:f>J106*'Assumptions &amp; Sources'!$B$7</x:f>
        <x:v>3043.56</x:v>
      </x:c>
      <x:c r="L106" s="80" t="n">
        <x:f>I106+K106</x:f>
        <x:v>23707.56</x:v>
      </x:c>
      <x:c r="M106" s="80" t="n">
        <x:f>G106+I106+K106</x:f>
        <x:v>123665.15999999999</x:v>
      </x:c>
      <x:c r="N106" s="80" t="n">
        <x:f>L106*'Dashboard'!$K$4/(1-'Dashboard'!$K$4)</x:f>
        <x:v>6686.747692307692</x:v>
      </x:c>
      <x:c r="O106" s="80" t="n">
        <x:f>M106+N106</x:f>
        <x:v>130351.90769230768</x:v>
      </x:c>
      <x:c r="P106" s="30" t="str">
        <x:v>OGDEN/HILL AFB, UT (UT291)</x:v>
      </x:c>
      <x:c r="Q106" s="30" t="str">
        <x:v>Year=2017; ZIP=84056; Pay grade=O-5; Dependents=With dependents</x:v>
      </x:c>
      <x:c r="R106" s="76" t="str">
        <x:v>https://www.dfas.mil/Portals/98/2017MilitaryPayChart.pdf</x:v>
      </x:c>
      <x:c r="S106" s="76" t="str">
        <x:v>https://www.travel.dod.mil/Allowances/Basic-Allowance-for-Housing/BAH-Rate-Lookup/</x:v>
      </x:c>
      <x:c r="T106" s="76" t="str">
        <x:v>https://www.dfas.mil/militarymembers/payentitlements/Pay-Tables/bas/</x:v>
      </x:c>
    </x:row>
    <x:row r="107">
      <x:c r="A107" s="19" t="n">
        <x:v>2017</x:v>
      </x:c>
      <x:c r="B107" s="19" t="str">
        <x:v>Actual</x:v>
      </x:c>
      <x:c r="C107" s="19" t="str">
        <x:v>O-6</x:v>
      </x:c>
      <x:c r="D107" s="19" t="str">
        <x:v>O-6 over 22</x:v>
      </x:c>
      <x:c r="E107" s="69" t="n">
        <x:v>0</x:v>
      </x:c>
      <x:c r="F107" s="79" t="n">
        <x:v>10318.8</x:v>
      </x:c>
      <x:c r="G107" s="80" t="n">
        <x:f>F107*'Assumptions &amp; Sources'!$B$7</x:f>
        <x:v>123825.59999999999</x:v>
      </x:c>
      <x:c r="H107" s="79" t="n">
        <x:v>1737</x:v>
      </x:c>
      <x:c r="I107" s="80" t="n">
        <x:f>H107*'Assumptions &amp; Sources'!$B$7</x:f>
        <x:v>20844</x:v>
      </x:c>
      <x:c r="J107" s="79" t="n">
        <x:v>253.63</x:v>
      </x:c>
      <x:c r="K107" s="80" t="n">
        <x:f>J107*'Assumptions &amp; Sources'!$B$7</x:f>
        <x:v>3043.56</x:v>
      </x:c>
      <x:c r="L107" s="80" t="n">
        <x:f>I107+K107</x:f>
        <x:v>23887.56</x:v>
      </x:c>
      <x:c r="M107" s="80" t="n">
        <x:f>G107+I107+K107</x:f>
        <x:v>147713.15999999997</x:v>
      </x:c>
      <x:c r="N107" s="80" t="n">
        <x:f>L107*'Dashboard'!$K$4/(1-'Dashboard'!$K$4)</x:f>
        <x:v>6737.516923076923</x:v>
      </x:c>
      <x:c r="O107" s="80" t="n">
        <x:f>M107+N107</x:f>
        <x:v>154450.67692307688</x:v>
      </x:c>
      <x:c r="P107" s="30" t="str">
        <x:v>OGDEN/HILL AFB, UT (UT291)</x:v>
      </x:c>
      <x:c r="Q107" s="30" t="str">
        <x:v>Year=2017; ZIP=84056; Pay grade=O-6; Dependents=With dependents</x:v>
      </x:c>
      <x:c r="R107" s="76" t="str">
        <x:v>https://www.dfas.mil/Portals/98/2017MilitaryPayChart.pdf</x:v>
      </x:c>
      <x:c r="S107" s="76" t="str">
        <x:v>https://www.travel.dod.mil/Allowances/Basic-Allowance-for-Housing/BAH-Rate-Lookup/</x:v>
      </x:c>
      <x:c r="T107" s="76" t="str">
        <x:v>https://www.dfas.mil/militarymembers/payentitlements/Pay-Tables/bas/</x:v>
      </x:c>
    </x:row>
    <x:row r="108">
      <x:c r="A108" s="19" t="n">
        <x:v>2018</x:v>
      </x:c>
      <x:c r="B108" s="19" t="str">
        <x:v>Actual</x:v>
      </x:c>
      <x:c r="C108" s="19" t="str">
        <x:v>O-1</x:v>
      </x:c>
      <x:c r="D108" s="19" t="str">
        <x:v>O-1 under 2</x:v>
      </x:c>
      <x:c r="E108" s="69" t="n">
        <x:v>0</x:v>
      </x:c>
      <x:c r="F108" s="79" t="n">
        <x:v>3107.7</x:v>
      </x:c>
      <x:c r="G108" s="80" t="n">
        <x:f>F108*'Assumptions &amp; Sources'!$B$7</x:f>
        <x:v>37292.399999999994</x:v>
      </x:c>
      <x:c r="H108" s="79" t="n">
        <x:v>1248</x:v>
      </x:c>
      <x:c r="I108" s="80" t="n">
        <x:f>H108*'Assumptions &amp; Sources'!$B$7</x:f>
        <x:v>14976</x:v>
      </x:c>
      <x:c r="J108" s="79" t="n">
        <x:v>254.39</x:v>
      </x:c>
      <x:c r="K108" s="80" t="n">
        <x:f>J108*'Assumptions &amp; Sources'!$B$7</x:f>
        <x:v>3052.68</x:v>
      </x:c>
      <x:c r="L108" s="80" t="n">
        <x:f>I108+K108</x:f>
        <x:v>18028.68</x:v>
      </x:c>
      <x:c r="M108" s="80" t="n">
        <x:f>G108+I108+K108</x:f>
        <x:v>55321.079999999994</x:v>
      </x:c>
      <x:c r="N108" s="80" t="n">
        <x:f>L108*'Dashboard'!$K$4/(1-'Dashboard'!$K$4)</x:f>
        <x:v>5085.012307692307</x:v>
      </x:c>
      <x:c r="O108" s="80" t="n">
        <x:f>M108+N108</x:f>
        <x:v>60406.0923076923</x:v>
      </x:c>
      <x:c r="P108" s="30" t="str">
        <x:v>OGDEN/HILL AFB, UT (UT291)</x:v>
      </x:c>
      <x:c r="Q108" s="30" t="str">
        <x:v>Year=2018; ZIP=84056; Pay grade=O-1; Dependents=With dependents</x:v>
      </x:c>
      <x:c r="R108" s="76" t="str">
        <x:v>https://www.dfas.mil/Portals/98/MilPayTable2018_5.pdf</x:v>
      </x:c>
      <x:c r="S108" s="76" t="str">
        <x:v>https://www.travel.dod.mil/Allowances/Basic-Allowance-for-Housing/BAH-Rate-Lookup/</x:v>
      </x:c>
      <x:c r="T108" s="76" t="str">
        <x:v>https://www.dfas.mil/militarymembers/payentitlements/Pay-Tables/bas/</x:v>
      </x:c>
    </x:row>
    <x:row r="109">
      <x:c r="A109" s="19" t="n">
        <x:v>2018</x:v>
      </x:c>
      <x:c r="B109" s="19" t="str">
        <x:v>Actual</x:v>
      </x:c>
      <x:c r="C109" s="19" t="str">
        <x:v>O-2</x:v>
      </x:c>
      <x:c r="D109" s="19" t="str">
        <x:v>O-2 over 2</x:v>
      </x:c>
      <x:c r="E109" s="69" t="n">
        <x:v>0</x:v>
      </x:c>
      <x:c r="F109" s="79" t="n">
        <x:v>4077.9</x:v>
      </x:c>
      <x:c r="G109" s="80" t="n">
        <x:f>F109*'Assumptions &amp; Sources'!$B$7</x:f>
        <x:v>48934.8</x:v>
      </x:c>
      <x:c r="H109" s="79" t="n">
        <x:v>1362</x:v>
      </x:c>
      <x:c r="I109" s="80" t="n">
        <x:f>H109*'Assumptions &amp; Sources'!$B$7</x:f>
        <x:v>16344</x:v>
      </x:c>
      <x:c r="J109" s="79" t="n">
        <x:v>254.39</x:v>
      </x:c>
      <x:c r="K109" s="80" t="n">
        <x:f>J109*'Assumptions &amp; Sources'!$B$7</x:f>
        <x:v>3052.68</x:v>
      </x:c>
      <x:c r="L109" s="80" t="n">
        <x:f>I109+K109</x:f>
        <x:v>19396.68</x:v>
      </x:c>
      <x:c r="M109" s="80" t="n">
        <x:f>G109+I109+K109</x:f>
        <x:v>68331.48</x:v>
      </x:c>
      <x:c r="N109" s="80" t="n">
        <x:f>L109*'Dashboard'!$K$4/(1-'Dashboard'!$K$4)</x:f>
        <x:v>5470.858461538462</x:v>
      </x:c>
      <x:c r="O109" s="80" t="n">
        <x:f>M109+N109</x:f>
        <x:v>73802.33846153846</x:v>
      </x:c>
      <x:c r="P109" s="30" t="str">
        <x:v>OGDEN/HILL AFB, UT (UT291)</x:v>
      </x:c>
      <x:c r="Q109" s="30" t="str">
        <x:v>Year=2018; ZIP=84056; Pay grade=O-2; Dependents=With dependents</x:v>
      </x:c>
      <x:c r="R109" s="76" t="str">
        <x:v>https://www.dfas.mil/Portals/98/MilPayTable2018_5.pdf</x:v>
      </x:c>
      <x:c r="S109" s="76" t="str">
        <x:v>https://www.travel.dod.mil/Allowances/Basic-Allowance-for-Housing/BAH-Rate-Lookup/</x:v>
      </x:c>
      <x:c r="T109" s="76" t="str">
        <x:v>https://www.dfas.mil/militarymembers/payentitlements/Pay-Tables/bas/</x:v>
      </x:c>
    </x:row>
    <x:row r="110">
      <x:c r="A110" s="19" t="n">
        <x:v>2018</x:v>
      </x:c>
      <x:c r="B110" s="19" t="str">
        <x:v>Actual</x:v>
      </x:c>
      <x:c r="C110" s="19" t="str">
        <x:v>O-3</x:v>
      </x:c>
      <x:c r="D110" s="19" t="str">
        <x:v>O-3 over 6</x:v>
      </x:c>
      <x:c r="E110" s="69" t="n">
        <x:v>0</x:v>
      </x:c>
      <x:c r="F110" s="79" t="n">
        <x:v>5793</x:v>
      </x:c>
      <x:c r="G110" s="80" t="n">
        <x:f>F110*'Assumptions &amp; Sources'!$B$7</x:f>
        <x:v>69516</x:v>
      </x:c>
      <x:c r="H110" s="79" t="n">
        <x:v>1581</x:v>
      </x:c>
      <x:c r="I110" s="80" t="n">
        <x:f>H110*'Assumptions &amp; Sources'!$B$7</x:f>
        <x:v>18972</x:v>
      </x:c>
      <x:c r="J110" s="79" t="n">
        <x:v>254.39</x:v>
      </x:c>
      <x:c r="K110" s="80" t="n">
        <x:f>J110*'Assumptions &amp; Sources'!$B$7</x:f>
        <x:v>3052.68</x:v>
      </x:c>
      <x:c r="L110" s="80" t="n">
        <x:f>I110+K110</x:f>
        <x:v>22024.68</x:v>
      </x:c>
      <x:c r="M110" s="80" t="n">
        <x:f>G110+I110+K110</x:f>
        <x:v>91540.68</x:v>
      </x:c>
      <x:c r="N110" s="80" t="n">
        <x:f>L110*'Dashboard'!$K$4/(1-'Dashboard'!$K$4)</x:f>
        <x:v>6212.089230769231</x:v>
      </x:c>
      <x:c r="O110" s="80" t="n">
        <x:f>M110+N110</x:f>
        <x:v>97752.76923076922</x:v>
      </x:c>
      <x:c r="P110" s="30" t="str">
        <x:v>OGDEN/HILL AFB, UT (UT291)</x:v>
      </x:c>
      <x:c r="Q110" s="30" t="str">
        <x:v>Year=2018; ZIP=84056; Pay grade=O-3; Dependents=With dependents</x:v>
      </x:c>
      <x:c r="R110" s="76" t="str">
        <x:v>https://www.dfas.mil/Portals/98/MilPayTable2018_5.pdf</x:v>
      </x:c>
      <x:c r="S110" s="76" t="str">
        <x:v>https://www.travel.dod.mil/Allowances/Basic-Allowance-for-Housing/BAH-Rate-Lookup/</x:v>
      </x:c>
      <x:c r="T110" s="76" t="str">
        <x:v>https://www.dfas.mil/militarymembers/payentitlements/Pay-Tables/bas/</x:v>
      </x:c>
    </x:row>
    <x:row r="111">
      <x:c r="A111" s="19" t="n">
        <x:v>2018</x:v>
      </x:c>
      <x:c r="B111" s="19" t="str">
        <x:v>Actual</x:v>
      </x:c>
      <x:c r="C111" s="19" t="str">
        <x:v>O-4</x:v>
      </x:c>
      <x:c r="D111" s="19" t="str">
        <x:v>O-4 over 10</x:v>
      </x:c>
      <x:c r="E111" s="69" t="n">
        <x:v>0</x:v>
      </x:c>
      <x:c r="F111" s="79" t="n">
        <x:v>7052.7</x:v>
      </x:c>
      <x:c r="G111" s="80" t="n">
        <x:f>F111*'Assumptions &amp; Sources'!$B$7</x:f>
        <x:v>84632.4</x:v>
      </x:c>
      <x:c r="H111" s="79" t="n">
        <x:v>1734</x:v>
      </x:c>
      <x:c r="I111" s="80" t="n">
        <x:f>H111*'Assumptions &amp; Sources'!$B$7</x:f>
        <x:v>20808</x:v>
      </x:c>
      <x:c r="J111" s="79" t="n">
        <x:v>254.39</x:v>
      </x:c>
      <x:c r="K111" s="80" t="n">
        <x:f>J111*'Assumptions &amp; Sources'!$B$7</x:f>
        <x:v>3052.68</x:v>
      </x:c>
      <x:c r="L111" s="80" t="n">
        <x:f>I111+K111</x:f>
        <x:v>23860.68</x:v>
      </x:c>
      <x:c r="M111" s="80" t="n">
        <x:f>G111+I111+K111</x:f>
        <x:v>108493.07999999999</x:v>
      </x:c>
      <x:c r="N111" s="80" t="n">
        <x:f>L111*'Dashboard'!$K$4/(1-'Dashboard'!$K$4)</x:f>
        <x:v>6729.935384615385</x:v>
      </x:c>
      <x:c r="O111" s="80" t="n">
        <x:f>M111+N111</x:f>
        <x:v>115223.01538461537</x:v>
      </x:c>
      <x:c r="P111" s="30" t="str">
        <x:v>OGDEN/HILL AFB, UT (UT291)</x:v>
      </x:c>
      <x:c r="Q111" s="30" t="str">
        <x:v>Year=2018; ZIP=84056; Pay grade=O-4; Dependents=With dependents</x:v>
      </x:c>
      <x:c r="R111" s="76" t="str">
        <x:v>https://www.dfas.mil/Portals/98/MilPayTable2018_5.pdf</x:v>
      </x:c>
      <x:c r="S111" s="76" t="str">
        <x:v>https://www.travel.dod.mil/Allowances/Basic-Allowance-for-Housing/BAH-Rate-Lookup/</x:v>
      </x:c>
      <x:c r="T111" s="76" t="str">
        <x:v>https://www.dfas.mil/militarymembers/payentitlements/Pay-Tables/bas/</x:v>
      </x:c>
    </x:row>
    <x:row r="112">
      <x:c r="A112" s="19" t="n">
        <x:v>2018</x:v>
      </x:c>
      <x:c r="B112" s="19" t="str">
        <x:v>Actual</x:v>
      </x:c>
      <x:c r="C112" s="19" t="str">
        <x:v>O-5</x:v>
      </x:c>
      <x:c r="D112" s="19" t="str">
        <x:v>O-5 over 16</x:v>
      </x:c>
      <x:c r="E112" s="69" t="n">
        <x:v>0</x:v>
      </x:c>
      <x:c r="F112" s="79" t="n">
        <x:v>8529.6</x:v>
      </x:c>
      <x:c r="G112" s="80" t="n">
        <x:f>F112*'Assumptions &amp; Sources'!$B$7</x:f>
        <x:v>102355.20000000001</x:v>
      </x:c>
      <x:c r="H112" s="79" t="n">
        <x:v>1842</x:v>
      </x:c>
      <x:c r="I112" s="80" t="n">
        <x:f>H112*'Assumptions &amp; Sources'!$B$7</x:f>
        <x:v>22104</x:v>
      </x:c>
      <x:c r="J112" s="79" t="n">
        <x:v>254.39</x:v>
      </x:c>
      <x:c r="K112" s="80" t="n">
        <x:f>J112*'Assumptions &amp; Sources'!$B$7</x:f>
        <x:v>3052.68</x:v>
      </x:c>
      <x:c r="L112" s="80" t="n">
        <x:f>I112+K112</x:f>
        <x:v>25156.68</x:v>
      </x:c>
      <x:c r="M112" s="80" t="n">
        <x:f>G112+I112+K112</x:f>
        <x:v>127511.88</x:v>
      </x:c>
      <x:c r="N112" s="80" t="n">
        <x:f>L112*'Dashboard'!$K$4/(1-'Dashboard'!$K$4)</x:f>
        <x:v>7095.473846153846</x:v>
      </x:c>
      <x:c r="O112" s="80" t="n">
        <x:f>M112+N112</x:f>
        <x:v>134607.35384615386</x:v>
      </x:c>
      <x:c r="P112" s="30" t="str">
        <x:v>OGDEN/HILL AFB, UT (UT291)</x:v>
      </x:c>
      <x:c r="Q112" s="30" t="str">
        <x:v>Year=2018; ZIP=84056; Pay grade=O-5; Dependents=With dependents</x:v>
      </x:c>
      <x:c r="R112" s="76" t="str">
        <x:v>https://www.dfas.mil/Portals/98/MilPayTable2018_5.pdf</x:v>
      </x:c>
      <x:c r="S112" s="76" t="str">
        <x:v>https://www.travel.dod.mil/Allowances/Basic-Allowance-for-Housing/BAH-Rate-Lookup/</x:v>
      </x:c>
      <x:c r="T112" s="76" t="str">
        <x:v>https://www.dfas.mil/militarymembers/payentitlements/Pay-Tables/bas/</x:v>
      </x:c>
    </x:row>
    <x:row r="113">
      <x:c r="A113" s="19" t="n">
        <x:v>2018</x:v>
      </x:c>
      <x:c r="B113" s="19" t="str">
        <x:v>Actual</x:v>
      </x:c>
      <x:c r="C113" s="19" t="str">
        <x:v>O-6</x:v>
      </x:c>
      <x:c r="D113" s="19" t="str">
        <x:v>O-6 over 22</x:v>
      </x:c>
      <x:c r="E113" s="69" t="n">
        <x:v>0</x:v>
      </x:c>
      <x:c r="F113" s="79" t="n">
        <x:v>10566.6</x:v>
      </x:c>
      <x:c r="G113" s="80" t="n">
        <x:f>F113*'Assumptions &amp; Sources'!$B$7</x:f>
        <x:v>126799.20000000001</x:v>
      </x:c>
      <x:c r="H113" s="79" t="n">
        <x:v>1860</x:v>
      </x:c>
      <x:c r="I113" s="80" t="n">
        <x:f>H113*'Assumptions &amp; Sources'!$B$7</x:f>
        <x:v>22320</x:v>
      </x:c>
      <x:c r="J113" s="79" t="n">
        <x:v>254.39</x:v>
      </x:c>
      <x:c r="K113" s="80" t="n">
        <x:f>J113*'Assumptions &amp; Sources'!$B$7</x:f>
        <x:v>3052.68</x:v>
      </x:c>
      <x:c r="L113" s="80" t="n">
        <x:f>I113+K113</x:f>
        <x:v>25372.68</x:v>
      </x:c>
      <x:c r="M113" s="80" t="n">
        <x:f>G113+I113+K113</x:f>
        <x:v>152171.88</x:v>
      </x:c>
      <x:c r="N113" s="80" t="n">
        <x:f>L113*'Dashboard'!$K$4/(1-'Dashboard'!$K$4)</x:f>
        <x:v>7156.396923076923</x:v>
      </x:c>
      <x:c r="O113" s="80" t="n">
        <x:f>M113+N113</x:f>
        <x:v>159328.27692307692</x:v>
      </x:c>
      <x:c r="P113" s="30" t="str">
        <x:v>OGDEN/HILL AFB, UT (UT291)</x:v>
      </x:c>
      <x:c r="Q113" s="30" t="str">
        <x:v>Year=2018; ZIP=84056; Pay grade=O-6; Dependents=With dependents</x:v>
      </x:c>
      <x:c r="R113" s="76" t="str">
        <x:v>https://www.dfas.mil/Portals/98/MilPayTable2018_5.pdf</x:v>
      </x:c>
      <x:c r="S113" s="76" t="str">
        <x:v>https://www.travel.dod.mil/Allowances/Basic-Allowance-for-Housing/BAH-Rate-Lookup/</x:v>
      </x:c>
      <x:c r="T113" s="76" t="str">
        <x:v>https://www.dfas.mil/militarymembers/payentitlements/Pay-Tables/bas/</x:v>
      </x:c>
    </x:row>
    <x:row r="114">
      <x:c r="A114" s="19" t="n">
        <x:v>2019</x:v>
      </x:c>
      <x:c r="B114" s="19" t="str">
        <x:v>Actual</x:v>
      </x:c>
      <x:c r="C114" s="19" t="str">
        <x:v>O-1</x:v>
      </x:c>
      <x:c r="D114" s="19" t="str">
        <x:v>O-1 under 2</x:v>
      </x:c>
      <x:c r="E114" s="69" t="n">
        <x:v>0</x:v>
      </x:c>
      <x:c r="F114" s="79" t="n">
        <x:v>3188.4</x:v>
      </x:c>
      <x:c r="G114" s="80" t="n">
        <x:f>F114*'Assumptions &amp; Sources'!$B$7</x:f>
        <x:v>38260.8</x:v>
      </x:c>
      <x:c r="H114" s="79" t="n">
        <x:v>1332</x:v>
      </x:c>
      <x:c r="I114" s="80" t="n">
        <x:f>H114*'Assumptions &amp; Sources'!$B$7</x:f>
        <x:v>15984</x:v>
      </x:c>
      <x:c r="J114" s="79" t="n">
        <x:v>254.39</x:v>
      </x:c>
      <x:c r="K114" s="80" t="n">
        <x:f>J114*'Assumptions &amp; Sources'!$B$7</x:f>
        <x:v>3052.68</x:v>
      </x:c>
      <x:c r="L114" s="80" t="n">
        <x:f>I114+K114</x:f>
        <x:v>19036.68</x:v>
      </x:c>
      <x:c r="M114" s="80" t="n">
        <x:f>G114+I114+K114</x:f>
        <x:v>57297.48</x:v>
      </x:c>
      <x:c r="N114" s="80" t="n">
        <x:f>L114*'Dashboard'!$K$4/(1-'Dashboard'!$K$4)</x:f>
        <x:v>5369.32</x:v>
      </x:c>
      <x:c r="O114" s="80" t="n">
        <x:f>M114+N114</x:f>
        <x:v>62666.8</x:v>
      </x:c>
      <x:c r="P114" s="30" t="str">
        <x:v>OGDEN/HILL AFB, UT (UT291)</x:v>
      </x:c>
      <x:c r="Q114" s="30" t="str">
        <x:v>Year=2019; ZIP=84056; Pay grade=O-1; Dependents=With dependents</x:v>
      </x:c>
      <x:c r="R114" s="76" t="str">
        <x:v>https://www.dfas.mil/Portals/98/MilPayTable2019_3.pdf</x:v>
      </x:c>
      <x:c r="S114" s="76" t="str">
        <x:v>https://www.travel.dod.mil/Allowances/Basic-Allowance-for-Housing/BAH-Rate-Lookup/</x:v>
      </x:c>
      <x:c r="T114" s="76" t="str">
        <x:v>https://www.dfas.mil/militarymembers/payentitlements/Pay-Tables/bas/</x:v>
      </x:c>
    </x:row>
    <x:row r="115">
      <x:c r="A115" s="19" t="n">
        <x:v>2019</x:v>
      </x:c>
      <x:c r="B115" s="19" t="str">
        <x:v>Actual</x:v>
      </x:c>
      <x:c r="C115" s="19" t="str">
        <x:v>O-2</x:v>
      </x:c>
      <x:c r="D115" s="19" t="str">
        <x:v>O-2 over 2</x:v>
      </x:c>
      <x:c r="E115" s="69" t="n">
        <x:v>0</x:v>
      </x:c>
      <x:c r="F115" s="79" t="n">
        <x:v>4183.8</x:v>
      </x:c>
      <x:c r="G115" s="80" t="n">
        <x:f>F115*'Assumptions &amp; Sources'!$B$7</x:f>
        <x:v>50205.600000000006</x:v>
      </x:c>
      <x:c r="H115" s="79" t="n">
        <x:v>1437</x:v>
      </x:c>
      <x:c r="I115" s="80" t="n">
        <x:f>H115*'Assumptions &amp; Sources'!$B$7</x:f>
        <x:v>17244</x:v>
      </x:c>
      <x:c r="J115" s="79" t="n">
        <x:v>254.39</x:v>
      </x:c>
      <x:c r="K115" s="80" t="n">
        <x:f>J115*'Assumptions &amp; Sources'!$B$7</x:f>
        <x:v>3052.68</x:v>
      </x:c>
      <x:c r="L115" s="80" t="n">
        <x:f>I115+K115</x:f>
        <x:v>20296.68</x:v>
      </x:c>
      <x:c r="M115" s="80" t="n">
        <x:f>G115+I115+K115</x:f>
        <x:v>70502.28</x:v>
      </x:c>
      <x:c r="N115" s="80" t="n">
        <x:f>L115*'Dashboard'!$K$4/(1-'Dashboard'!$K$4)</x:f>
        <x:v>5724.704615384616</x:v>
      </x:c>
      <x:c r="O115" s="80" t="n">
        <x:f>M115+N115</x:f>
        <x:v>76226.98461538462</x:v>
      </x:c>
      <x:c r="P115" s="30" t="str">
        <x:v>OGDEN/HILL AFB, UT (UT291)</x:v>
      </x:c>
      <x:c r="Q115" s="30" t="str">
        <x:v>Year=2019; ZIP=84056; Pay grade=O-2; Dependents=With dependents</x:v>
      </x:c>
      <x:c r="R115" s="76" t="str">
        <x:v>https://www.dfas.mil/Portals/98/MilPayTable2019_3.pdf</x:v>
      </x:c>
      <x:c r="S115" s="76" t="str">
        <x:v>https://www.travel.dod.mil/Allowances/Basic-Allowance-for-Housing/BAH-Rate-Lookup/</x:v>
      </x:c>
      <x:c r="T115" s="76" t="str">
        <x:v>https://www.dfas.mil/militarymembers/payentitlements/Pay-Tables/bas/</x:v>
      </x:c>
    </x:row>
    <x:row r="116">
      <x:c r="A116" s="19" t="n">
        <x:v>2019</x:v>
      </x:c>
      <x:c r="B116" s="19" t="str">
        <x:v>Actual</x:v>
      </x:c>
      <x:c r="C116" s="19" t="str">
        <x:v>O-3</x:v>
      </x:c>
      <x:c r="D116" s="19" t="str">
        <x:v>O-3 over 6</x:v>
      </x:c>
      <x:c r="E116" s="69" t="n">
        <x:v>0</x:v>
      </x:c>
      <x:c r="F116" s="79" t="n">
        <x:v>5943.6</x:v>
      </x:c>
      <x:c r="G116" s="80" t="n">
        <x:f>F116*'Assumptions &amp; Sources'!$B$7</x:f>
        <x:v>71323.20000000001</x:v>
      </x:c>
      <x:c r="H116" s="79" t="n">
        <x:v>1617</x:v>
      </x:c>
      <x:c r="I116" s="80" t="n">
        <x:f>H116*'Assumptions &amp; Sources'!$B$7</x:f>
        <x:v>19404</x:v>
      </x:c>
      <x:c r="J116" s="79" t="n">
        <x:v>254.39</x:v>
      </x:c>
      <x:c r="K116" s="80" t="n">
        <x:f>J116*'Assumptions &amp; Sources'!$B$7</x:f>
        <x:v>3052.68</x:v>
      </x:c>
      <x:c r="L116" s="80" t="n">
        <x:f>I116+K116</x:f>
        <x:v>22456.68</x:v>
      </x:c>
      <x:c r="M116" s="80" t="n">
        <x:f>G116+I116+K116</x:f>
        <x:v>93779.88</x:v>
      </x:c>
      <x:c r="N116" s="80" t="n">
        <x:f>L116*'Dashboard'!$K$4/(1-'Dashboard'!$K$4)</x:f>
        <x:v>6333.9353846153845</x:v>
      </x:c>
      <x:c r="O116" s="80" t="n">
        <x:f>M116+N116</x:f>
        <x:v>100113.81538461539</x:v>
      </x:c>
      <x:c r="P116" s="30" t="str">
        <x:v>OGDEN/HILL AFB, UT (UT291)</x:v>
      </x:c>
      <x:c r="Q116" s="30" t="str">
        <x:v>Year=2019; ZIP=84056; Pay grade=O-3; Dependents=With dependents</x:v>
      </x:c>
      <x:c r="R116" s="76" t="str">
        <x:v>https://www.dfas.mil/Portals/98/MilPayTable2019_3.pdf</x:v>
      </x:c>
      <x:c r="S116" s="76" t="str">
        <x:v>https://www.travel.dod.mil/Allowances/Basic-Allowance-for-Housing/BAH-Rate-Lookup/</x:v>
      </x:c>
      <x:c r="T116" s="76" t="str">
        <x:v>https://www.dfas.mil/militarymembers/payentitlements/Pay-Tables/bas/</x:v>
      </x:c>
    </x:row>
    <x:row r="117">
      <x:c r="A117" s="19" t="n">
        <x:v>2019</x:v>
      </x:c>
      <x:c r="B117" s="19" t="str">
        <x:v>Actual</x:v>
      </x:c>
      <x:c r="C117" s="19" t="str">
        <x:v>O-4</x:v>
      </x:c>
      <x:c r="D117" s="19" t="str">
        <x:v>O-4 over 10</x:v>
      </x:c>
      <x:c r="E117" s="69" t="n">
        <x:v>0</x:v>
      </x:c>
      <x:c r="F117" s="79" t="n">
        <x:v>7236</x:v>
      </x:c>
      <x:c r="G117" s="80" t="n">
        <x:f>F117*'Assumptions &amp; Sources'!$B$7</x:f>
        <x:v>86832</x:v>
      </x:c>
      <x:c r="H117" s="79" t="n">
        <x:v>1746</x:v>
      </x:c>
      <x:c r="I117" s="80" t="n">
        <x:f>H117*'Assumptions &amp; Sources'!$B$7</x:f>
        <x:v>20952</x:v>
      </x:c>
      <x:c r="J117" s="79" t="n">
        <x:v>254.39</x:v>
      </x:c>
      <x:c r="K117" s="80" t="n">
        <x:f>J117*'Assumptions &amp; Sources'!$B$7</x:f>
        <x:v>3052.68</x:v>
      </x:c>
      <x:c r="L117" s="80" t="n">
        <x:f>I117+K117</x:f>
        <x:v>24004.68</x:v>
      </x:c>
      <x:c r="M117" s="80" t="n">
        <x:f>G117+I117+K117</x:f>
        <x:v>110836.68</x:v>
      </x:c>
      <x:c r="N117" s="80" t="n">
        <x:f>L117*'Dashboard'!$K$4/(1-'Dashboard'!$K$4)</x:f>
        <x:v>6770.550769230769</x:v>
      </x:c>
      <x:c r="O117" s="80" t="n">
        <x:f>M117+N117</x:f>
        <x:v>117607.23076923077</x:v>
      </x:c>
      <x:c r="P117" s="30" t="str">
        <x:v>OGDEN/HILL AFB, UT (UT291)</x:v>
      </x:c>
      <x:c r="Q117" s="30" t="str">
        <x:v>Year=2019; ZIP=84056; Pay grade=O-4; Dependents=With dependents</x:v>
      </x:c>
      <x:c r="R117" s="76" t="str">
        <x:v>https://www.dfas.mil/Portals/98/MilPayTable2019_3.pdf</x:v>
      </x:c>
      <x:c r="S117" s="76" t="str">
        <x:v>https://www.travel.dod.mil/Allowances/Basic-Allowance-for-Housing/BAH-Rate-Lookup/</x:v>
      </x:c>
      <x:c r="T117" s="76" t="str">
        <x:v>https://www.dfas.mil/militarymembers/payentitlements/Pay-Tables/bas/</x:v>
      </x:c>
    </x:row>
    <x:row r="118">
      <x:c r="A118" s="19" t="n">
        <x:v>2019</x:v>
      </x:c>
      <x:c r="B118" s="19" t="str">
        <x:v>Actual</x:v>
      </x:c>
      <x:c r="C118" s="19" t="str">
        <x:v>O-5</x:v>
      </x:c>
      <x:c r="D118" s="19" t="str">
        <x:v>O-5 over 16</x:v>
      </x:c>
      <x:c r="E118" s="69" t="n">
        <x:v>0</x:v>
      </x:c>
      <x:c r="F118" s="79" t="n">
        <x:v>8751.3</x:v>
      </x:c>
      <x:c r="G118" s="80" t="n">
        <x:f>F118*'Assumptions &amp; Sources'!$B$7</x:f>
        <x:v>105015.59999999999</x:v>
      </x:c>
      <x:c r="H118" s="79" t="n">
        <x:v>1839</x:v>
      </x:c>
      <x:c r="I118" s="80" t="n">
        <x:f>H118*'Assumptions &amp; Sources'!$B$7</x:f>
        <x:v>22068</x:v>
      </x:c>
      <x:c r="J118" s="79" t="n">
        <x:v>254.39</x:v>
      </x:c>
      <x:c r="K118" s="80" t="n">
        <x:f>J118*'Assumptions &amp; Sources'!$B$7</x:f>
        <x:v>3052.68</x:v>
      </x:c>
      <x:c r="L118" s="80" t="n">
        <x:f>I118+K118</x:f>
        <x:v>25120.68</x:v>
      </x:c>
      <x:c r="M118" s="80" t="n">
        <x:f>G118+I118+K118</x:f>
        <x:v>130136.27999999998</x:v>
      </x:c>
      <x:c r="N118" s="80" t="n">
        <x:f>L118*'Dashboard'!$K$4/(1-'Dashboard'!$K$4)</x:f>
        <x:v>7085.32</x:v>
      </x:c>
      <x:c r="O118" s="80" t="n">
        <x:f>M118+N118</x:f>
        <x:v>137221.59999999998</x:v>
      </x:c>
      <x:c r="P118" s="30" t="str">
        <x:v>OGDEN/HILL AFB, UT (UT291)</x:v>
      </x:c>
      <x:c r="Q118" s="30" t="str">
        <x:v>Year=2019; ZIP=84056; Pay grade=O-5; Dependents=With dependents</x:v>
      </x:c>
      <x:c r="R118" s="76" t="str">
        <x:v>https://www.dfas.mil/Portals/98/MilPayTable2019_3.pdf</x:v>
      </x:c>
      <x:c r="S118" s="76" t="str">
        <x:v>https://www.travel.dod.mil/Allowances/Basic-Allowance-for-Housing/BAH-Rate-Lookup/</x:v>
      </x:c>
      <x:c r="T118" s="76" t="str">
        <x:v>https://www.dfas.mil/militarymembers/payentitlements/Pay-Tables/bas/</x:v>
      </x:c>
    </x:row>
    <x:row r="119">
      <x:c r="A119" s="19" t="n">
        <x:v>2019</x:v>
      </x:c>
      <x:c r="B119" s="19" t="str">
        <x:v>Actual</x:v>
      </x:c>
      <x:c r="C119" s="19" t="str">
        <x:v>O-6</x:v>
      </x:c>
      <x:c r="D119" s="19" t="str">
        <x:v>O-6 over 22</x:v>
      </x:c>
      <x:c r="E119" s="69" t="n">
        <x:v>0</x:v>
      </x:c>
      <x:c r="F119" s="79" t="n">
        <x:v>10841.4</x:v>
      </x:c>
      <x:c r="G119" s="80" t="n">
        <x:f>F119*'Assumptions &amp; Sources'!$B$7</x:f>
        <x:v>130096.79999999999</x:v>
      </x:c>
      <x:c r="H119" s="79" t="n">
        <x:v>1854</x:v>
      </x:c>
      <x:c r="I119" s="80" t="n">
        <x:f>H119*'Assumptions &amp; Sources'!$B$7</x:f>
        <x:v>22248</x:v>
      </x:c>
      <x:c r="J119" s="79" t="n">
        <x:v>254.39</x:v>
      </x:c>
      <x:c r="K119" s="80" t="n">
        <x:f>J119*'Assumptions &amp; Sources'!$B$7</x:f>
        <x:v>3052.68</x:v>
      </x:c>
      <x:c r="L119" s="80" t="n">
        <x:f>I119+K119</x:f>
        <x:v>25300.68</x:v>
      </x:c>
      <x:c r="M119" s="80" t="n">
        <x:f>G119+I119+K119</x:f>
        <x:v>155397.47999999998</x:v>
      </x:c>
      <x:c r="N119" s="80" t="n">
        <x:f>L119*'Dashboard'!$K$4/(1-'Dashboard'!$K$4)</x:f>
        <x:v>7136.08923076923</x:v>
      </x:c>
      <x:c r="O119" s="80" t="n">
        <x:f>M119+N119</x:f>
        <x:v>162533.5692307692</x:v>
      </x:c>
      <x:c r="P119" s="30" t="str">
        <x:v>OGDEN/HILL AFB, UT (UT291)</x:v>
      </x:c>
      <x:c r="Q119" s="30" t="str">
        <x:v>Year=2019; ZIP=84056; Pay grade=O-6; Dependents=With dependents</x:v>
      </x:c>
      <x:c r="R119" s="76" t="str">
        <x:v>https://www.dfas.mil/Portals/98/MilPayTable2019_3.pdf</x:v>
      </x:c>
      <x:c r="S119" s="76" t="str">
        <x:v>https://www.travel.dod.mil/Allowances/Basic-Allowance-for-Housing/BAH-Rate-Lookup/</x:v>
      </x:c>
      <x:c r="T119" s="76" t="str">
        <x:v>https://www.dfas.mil/militarymembers/payentitlements/Pay-Tables/bas/</x:v>
      </x:c>
    </x:row>
    <x:row r="120">
      <x:c r="A120" s="19" t="n">
        <x:v>2020</x:v>
      </x:c>
      <x:c r="B120" s="19" t="str">
        <x:v>Actual</x:v>
      </x:c>
      <x:c r="C120" s="19" t="str">
        <x:v>O-1</x:v>
      </x:c>
      <x:c r="D120" s="19" t="str">
        <x:v>O-1 under 2</x:v>
      </x:c>
      <x:c r="E120" s="69" t="n">
        <x:v>0</x:v>
      </x:c>
      <x:c r="F120" s="79" t="n">
        <x:v>3287.1</x:v>
      </x:c>
      <x:c r="G120" s="80" t="n">
        <x:f>F120*'Assumptions &amp; Sources'!$B$7</x:f>
        <x:v>39445.2</x:v>
      </x:c>
      <x:c r="H120" s="79" t="n">
        <x:v>1500</x:v>
      </x:c>
      <x:c r="I120" s="80" t="n">
        <x:f>H120*'Assumptions &amp; Sources'!$B$7</x:f>
        <x:v>18000</x:v>
      </x:c>
      <x:c r="J120" s="79" t="n">
        <x:v>256.68</x:v>
      </x:c>
      <x:c r="K120" s="80" t="n">
        <x:f>J120*'Assumptions &amp; Sources'!$B$7</x:f>
        <x:v>3080.16</x:v>
      </x:c>
      <x:c r="L120" s="80" t="n">
        <x:f>I120+K120</x:f>
        <x:v>21080.16</x:v>
      </x:c>
      <x:c r="M120" s="80" t="n">
        <x:f>G120+I120+K120</x:f>
        <x:v>60525.36</x:v>
      </x:c>
      <x:c r="N120" s="80" t="n">
        <x:f>L120*'Dashboard'!$K$4/(1-'Dashboard'!$K$4)</x:f>
        <x:v>5945.6861538461535</x:v>
      </x:c>
      <x:c r="O120" s="80" t="n">
        <x:f>M120+N120</x:f>
        <x:v>66471.04615384615</x:v>
      </x:c>
      <x:c r="P120" s="30" t="str">
        <x:v>OGDEN/HILL AFB, UT (UT291)</x:v>
      </x:c>
      <x:c r="Q120" s="30" t="str">
        <x:v>Year=2020; ZIP=84056; Pay grade=O-1; Dependents=With dependents</x:v>
      </x:c>
      <x:c r="R120" s="76" t="str">
        <x:v>https://www.dfas.mil/Portals/98/2020%20Military%20Pay_Basic_DP.pdf</x:v>
      </x:c>
      <x:c r="S120" s="76" t="str">
        <x:v>https://www.travel.dod.mil/Allowances/Basic-Allowance-for-Housing/BAH-Rate-Lookup/</x:v>
      </x:c>
      <x:c r="T120" s="76" t="str">
        <x:v>https://www.dfas.mil/militarymembers/payentitlements/Pay-Tables/bas/</x:v>
      </x:c>
    </x:row>
    <x:row r="121">
      <x:c r="A121" s="19" t="n">
        <x:v>2020</x:v>
      </x:c>
      <x:c r="B121" s="19" t="str">
        <x:v>Actual</x:v>
      </x:c>
      <x:c r="C121" s="19" t="str">
        <x:v>O-2</x:v>
      </x:c>
      <x:c r="D121" s="19" t="str">
        <x:v>O-2 over 2</x:v>
      </x:c>
      <x:c r="E121" s="69" t="n">
        <x:v>0</x:v>
      </x:c>
      <x:c r="F121" s="79" t="n">
        <x:v>4313.4</x:v>
      </x:c>
      <x:c r="G121" s="80" t="n">
        <x:f>F121*'Assumptions &amp; Sources'!$B$7</x:f>
        <x:v>51760.799999999996</x:v>
      </x:c>
      <x:c r="H121" s="79" t="n">
        <x:v>1572</x:v>
      </x:c>
      <x:c r="I121" s="80" t="n">
        <x:f>H121*'Assumptions &amp; Sources'!$B$7</x:f>
        <x:v>18864</x:v>
      </x:c>
      <x:c r="J121" s="79" t="n">
        <x:v>256.68</x:v>
      </x:c>
      <x:c r="K121" s="80" t="n">
        <x:f>J121*'Assumptions &amp; Sources'!$B$7</x:f>
        <x:v>3080.16</x:v>
      </x:c>
      <x:c r="L121" s="80" t="n">
        <x:f>I121+K121</x:f>
        <x:v>21944.16</x:v>
      </x:c>
      <x:c r="M121" s="80" t="n">
        <x:f>G121+I121+K121</x:f>
        <x:v>73704.95999999999</x:v>
      </x:c>
      <x:c r="N121" s="80" t="n">
        <x:f>L121*'Dashboard'!$K$4/(1-'Dashboard'!$K$4)</x:f>
        <x:v>6189.378461538461</x:v>
      </x:c>
      <x:c r="O121" s="80" t="n">
        <x:f>M121+N121</x:f>
        <x:v>79894.33846153846</x:v>
      </x:c>
      <x:c r="P121" s="30" t="str">
        <x:v>OGDEN/HILL AFB, UT (UT291)</x:v>
      </x:c>
      <x:c r="Q121" s="30" t="str">
        <x:v>Year=2020; ZIP=84056; Pay grade=O-2; Dependents=With dependents</x:v>
      </x:c>
      <x:c r="R121" s="76" t="str">
        <x:v>https://www.dfas.mil/Portals/98/2020%20Military%20Pay_Basic_DP.pdf</x:v>
      </x:c>
      <x:c r="S121" s="76" t="str">
        <x:v>https://www.travel.dod.mil/Allowances/Basic-Allowance-for-Housing/BAH-Rate-Lookup/</x:v>
      </x:c>
      <x:c r="T121" s="76" t="str">
        <x:v>https://www.dfas.mil/militarymembers/payentitlements/Pay-Tables/bas/</x:v>
      </x:c>
    </x:row>
    <x:row r="122">
      <x:c r="A122" s="19" t="n">
        <x:v>2020</x:v>
      </x:c>
      <x:c r="B122" s="19" t="str">
        <x:v>Actual</x:v>
      </x:c>
      <x:c r="C122" s="19" t="str">
        <x:v>O-3</x:v>
      </x:c>
      <x:c r="D122" s="19" t="str">
        <x:v>O-3 over 6</x:v>
      </x:c>
      <x:c r="E122" s="69" t="n">
        <x:v>0</x:v>
      </x:c>
      <x:c r="F122" s="79" t="n">
        <x:v>6127.8</x:v>
      </x:c>
      <x:c r="G122" s="80" t="n">
        <x:f>F122*'Assumptions &amp; Sources'!$B$7</x:f>
        <x:v>73533.6</x:v>
      </x:c>
      <x:c r="H122" s="79" t="n">
        <x:v>1650</x:v>
      </x:c>
      <x:c r="I122" s="80" t="n">
        <x:f>H122*'Assumptions &amp; Sources'!$B$7</x:f>
        <x:v>19800</x:v>
      </x:c>
      <x:c r="J122" s="79" t="n">
        <x:v>256.68</x:v>
      </x:c>
      <x:c r="K122" s="80" t="n">
        <x:f>J122*'Assumptions &amp; Sources'!$B$7</x:f>
        <x:v>3080.16</x:v>
      </x:c>
      <x:c r="L122" s="80" t="n">
        <x:f>I122+K122</x:f>
        <x:v>22880.16</x:v>
      </x:c>
      <x:c r="M122" s="80" t="n">
        <x:f>G122+I122+K122</x:f>
        <x:v>96413.76000000001</x:v>
      </x:c>
      <x:c r="N122" s="80" t="n">
        <x:f>L122*'Dashboard'!$K$4/(1-'Dashboard'!$K$4)</x:f>
        <x:v>6453.378461538461</x:v>
      </x:c>
      <x:c r="O122" s="80" t="n">
        <x:f>M122+N122</x:f>
        <x:v>102867.13846153847</x:v>
      </x:c>
      <x:c r="P122" s="30" t="str">
        <x:v>OGDEN/HILL AFB, UT (UT291)</x:v>
      </x:c>
      <x:c r="Q122" s="30" t="str">
        <x:v>Year=2020; ZIP=84056; Pay grade=O-3; Dependents=With dependents</x:v>
      </x:c>
      <x:c r="R122" s="76" t="str">
        <x:v>https://www.dfas.mil/Portals/98/2020%20Military%20Pay_Basic_DP.pdf</x:v>
      </x:c>
      <x:c r="S122" s="76" t="str">
        <x:v>https://www.travel.dod.mil/Allowances/Basic-Allowance-for-Housing/BAH-Rate-Lookup/</x:v>
      </x:c>
      <x:c r="T122" s="76" t="str">
        <x:v>https://www.dfas.mil/militarymembers/payentitlements/Pay-Tables/bas/</x:v>
      </x:c>
    </x:row>
    <x:row r="123">
      <x:c r="A123" s="19" t="n">
        <x:v>2020</x:v>
      </x:c>
      <x:c r="B123" s="19" t="str">
        <x:v>Actual</x:v>
      </x:c>
      <x:c r="C123" s="19" t="str">
        <x:v>O-4</x:v>
      </x:c>
      <x:c r="D123" s="19" t="str">
        <x:v>O-4 over 10</x:v>
      </x:c>
      <x:c r="E123" s="69" t="n">
        <x:v>0</x:v>
      </x:c>
      <x:c r="F123" s="79" t="n">
        <x:v>7460.4</x:v>
      </x:c>
      <x:c r="G123" s="80" t="n">
        <x:f>F123*'Assumptions &amp; Sources'!$B$7</x:f>
        <x:v>89524.79999999999</x:v>
      </x:c>
      <x:c r="H123" s="79" t="n">
        <x:v>1800</x:v>
      </x:c>
      <x:c r="I123" s="80" t="n">
        <x:f>H123*'Assumptions &amp; Sources'!$B$7</x:f>
        <x:v>21600</x:v>
      </x:c>
      <x:c r="J123" s="79" t="n">
        <x:v>256.68</x:v>
      </x:c>
      <x:c r="K123" s="80" t="n">
        <x:f>J123*'Assumptions &amp; Sources'!$B$7</x:f>
        <x:v>3080.16</x:v>
      </x:c>
      <x:c r="L123" s="80" t="n">
        <x:f>I123+K123</x:f>
        <x:v>24680.16</x:v>
      </x:c>
      <x:c r="M123" s="80" t="n">
        <x:f>G123+I123+K123</x:f>
        <x:v>114204.95999999999</x:v>
      </x:c>
      <x:c r="N123" s="80" t="n">
        <x:f>L123*'Dashboard'!$K$4/(1-'Dashboard'!$K$4)</x:f>
        <x:v>6961.070769230769</x:v>
      </x:c>
      <x:c r="O123" s="80" t="n">
        <x:f>M123+N123</x:f>
        <x:v>121166.03076923075</x:v>
      </x:c>
      <x:c r="P123" s="30" t="str">
        <x:v>OGDEN/HILL AFB, UT (UT291)</x:v>
      </x:c>
      <x:c r="Q123" s="30" t="str">
        <x:v>Year=2020; ZIP=84056; Pay grade=O-4; Dependents=With dependents</x:v>
      </x:c>
      <x:c r="R123" s="76" t="str">
        <x:v>https://www.dfas.mil/Portals/98/2020%20Military%20Pay_Basic_DP.pdf</x:v>
      </x:c>
      <x:c r="S123" s="76" t="str">
        <x:v>https://www.travel.dod.mil/Allowances/Basic-Allowance-for-Housing/BAH-Rate-Lookup/</x:v>
      </x:c>
      <x:c r="T123" s="76" t="str">
        <x:v>https://www.dfas.mil/militarymembers/payentitlements/Pay-Tables/bas/</x:v>
      </x:c>
    </x:row>
    <x:row r="124">
      <x:c r="A124" s="19" t="n">
        <x:v>2020</x:v>
      </x:c>
      <x:c r="B124" s="19" t="str">
        <x:v>Actual</x:v>
      </x:c>
      <x:c r="C124" s="19" t="str">
        <x:v>O-5</x:v>
      </x:c>
      <x:c r="D124" s="19" t="str">
        <x:v>O-5 over 16</x:v>
      </x:c>
      <x:c r="E124" s="69" t="n">
        <x:v>0</x:v>
      </x:c>
      <x:c r="F124" s="79" t="n">
        <x:v>9022.5</x:v>
      </x:c>
      <x:c r="G124" s="80" t="n">
        <x:f>F124*'Assumptions &amp; Sources'!$B$7</x:f>
        <x:v>108270</x:v>
      </x:c>
      <x:c r="H124" s="79" t="n">
        <x:v>1905</x:v>
      </x:c>
      <x:c r="I124" s="80" t="n">
        <x:f>H124*'Assumptions &amp; Sources'!$B$7</x:f>
        <x:v>22860</x:v>
      </x:c>
      <x:c r="J124" s="79" t="n">
        <x:v>256.68</x:v>
      </x:c>
      <x:c r="K124" s="80" t="n">
        <x:f>J124*'Assumptions &amp; Sources'!$B$7</x:f>
        <x:v>3080.16</x:v>
      </x:c>
      <x:c r="L124" s="80" t="n">
        <x:f>I124+K124</x:f>
        <x:v>25940.16</x:v>
      </x:c>
      <x:c r="M124" s="80" t="n">
        <x:f>G124+I124+K124</x:f>
        <x:v>134210.16</x:v>
      </x:c>
      <x:c r="N124" s="80" t="n">
        <x:f>L124*'Dashboard'!$K$4/(1-'Dashboard'!$K$4)</x:f>
        <x:v>7316.455384615385</x:v>
      </x:c>
      <x:c r="O124" s="80" t="n">
        <x:f>M124+N124</x:f>
        <x:v>141526.61538461538</x:v>
      </x:c>
      <x:c r="P124" s="30" t="str">
        <x:v>OGDEN/HILL AFB, UT (UT291)</x:v>
      </x:c>
      <x:c r="Q124" s="30" t="str">
        <x:v>Year=2020; ZIP=84056; Pay grade=O-5; Dependents=With dependents</x:v>
      </x:c>
      <x:c r="R124" s="76" t="str">
        <x:v>https://www.dfas.mil/Portals/98/2020%20Military%20Pay_Basic_DP.pdf</x:v>
      </x:c>
      <x:c r="S124" s="76" t="str">
        <x:v>https://www.travel.dod.mil/Allowances/Basic-Allowance-for-Housing/BAH-Rate-Lookup/</x:v>
      </x:c>
      <x:c r="T124" s="76" t="str">
        <x:v>https://www.dfas.mil/militarymembers/payentitlements/Pay-Tables/bas/</x:v>
      </x:c>
    </x:row>
    <x:row r="125">
      <x:c r="A125" s="19" t="n">
        <x:v>2020</x:v>
      </x:c>
      <x:c r="B125" s="19" t="str">
        <x:v>Actual</x:v>
      </x:c>
      <x:c r="C125" s="19" t="str">
        <x:v>O-6</x:v>
      </x:c>
      <x:c r="D125" s="19" t="str">
        <x:v>O-6 over 22</x:v>
      </x:c>
      <x:c r="E125" s="69" t="n">
        <x:v>0</x:v>
      </x:c>
      <x:c r="F125" s="79" t="n">
        <x:v>11177.4</x:v>
      </x:c>
      <x:c r="G125" s="80" t="n">
        <x:f>F125*'Assumptions &amp; Sources'!$B$7</x:f>
        <x:v>134128.8</x:v>
      </x:c>
      <x:c r="H125" s="79" t="n">
        <x:v>1920</x:v>
      </x:c>
      <x:c r="I125" s="80" t="n">
        <x:f>H125*'Assumptions &amp; Sources'!$B$7</x:f>
        <x:v>23040</x:v>
      </x:c>
      <x:c r="J125" s="79" t="n">
        <x:v>256.68</x:v>
      </x:c>
      <x:c r="K125" s="80" t="n">
        <x:f>J125*'Assumptions &amp; Sources'!$B$7</x:f>
        <x:v>3080.16</x:v>
      </x:c>
      <x:c r="L125" s="80" t="n">
        <x:f>I125+K125</x:f>
        <x:v>26120.16</x:v>
      </x:c>
      <x:c r="M125" s="80" t="n">
        <x:f>G125+I125+K125</x:f>
        <x:v>160248.96</x:v>
      </x:c>
      <x:c r="N125" s="80" t="n">
        <x:f>L125*'Dashboard'!$K$4/(1-'Dashboard'!$K$4)</x:f>
        <x:v>7367.224615384615</x:v>
      </x:c>
      <x:c r="O125" s="80" t="n">
        <x:f>M125+N125</x:f>
        <x:v>167616.1846153846</x:v>
      </x:c>
      <x:c r="P125" s="30" t="str">
        <x:v>OGDEN/HILL AFB, UT (UT291)</x:v>
      </x:c>
      <x:c r="Q125" s="30" t="str">
        <x:v>Year=2020; ZIP=84056; Pay grade=O-6; Dependents=With dependents</x:v>
      </x:c>
      <x:c r="R125" s="76" t="str">
        <x:v>https://www.dfas.mil/Portals/98/2020%20Military%20Pay_Basic_DP.pdf</x:v>
      </x:c>
      <x:c r="S125" s="76" t="str">
        <x:v>https://www.travel.dod.mil/Allowances/Basic-Allowance-for-Housing/BAH-Rate-Lookup/</x:v>
      </x:c>
      <x:c r="T125" s="76" t="str">
        <x:v>https://www.dfas.mil/militarymembers/payentitlements/Pay-Tables/bas/</x:v>
      </x:c>
    </x:row>
    <x:row r="126">
      <x:c r="A126" s="19" t="n">
        <x:v>2021</x:v>
      </x:c>
      <x:c r="B126" s="19" t="str">
        <x:v>Actual</x:v>
      </x:c>
      <x:c r="C126" s="19" t="str">
        <x:v>O-1</x:v>
      </x:c>
      <x:c r="D126" s="19" t="str">
        <x:v>O-1 under 2</x:v>
      </x:c>
      <x:c r="E126" s="69" t="n">
        <x:v>0</x:v>
      </x:c>
      <x:c r="F126" s="79" t="n">
        <x:v>3385.8</x:v>
      </x:c>
      <x:c r="G126" s="80" t="n">
        <x:f>F126*'Assumptions &amp; Sources'!$B$7</x:f>
        <x:v>40629.600000000006</x:v>
      </x:c>
      <x:c r="H126" s="79" t="n">
        <x:v>1608</x:v>
      </x:c>
      <x:c r="I126" s="80" t="n">
        <x:f>H126*'Assumptions &amp; Sources'!$B$7</x:f>
        <x:v>19296</x:v>
      </x:c>
      <x:c r="J126" s="79" t="n">
        <x:v>266.18</x:v>
      </x:c>
      <x:c r="K126" s="80" t="n">
        <x:f>J126*'Assumptions &amp; Sources'!$B$7</x:f>
        <x:v>3194.16</x:v>
      </x:c>
      <x:c r="L126" s="80" t="n">
        <x:f>I126+K126</x:f>
        <x:v>22490.16</x:v>
      </x:c>
      <x:c r="M126" s="80" t="n">
        <x:f>G126+I126+K126</x:f>
        <x:v>63119.76000000001</x:v>
      </x:c>
      <x:c r="N126" s="80" t="n">
        <x:f>L126*'Dashboard'!$K$4/(1-'Dashboard'!$K$4)</x:f>
        <x:v>6343.378461538462</x:v>
      </x:c>
      <x:c r="O126" s="80" t="n">
        <x:f>M126+N126</x:f>
        <x:v>69463.13846153847</x:v>
      </x:c>
      <x:c r="P126" s="30" t="str">
        <x:v>OGDEN/HILL AFB, UT (UT291)</x:v>
      </x:c>
      <x:c r="Q126" s="30" t="str">
        <x:v>Year=2021; ZIP=84056; Pay grade=O-1; Dependents=With dependents</x:v>
      </x:c>
      <x:c r="R126" s="76" t="str">
        <x:v>https://www.dfas.mil/Portals/98/Documents/militarymembers/militarymembers/pay-tables/2021%20MilPay%20General.pdf?ver=MkfmQyc245XzKP414-iRVA%3d%3d</x:v>
      </x:c>
      <x:c r="S126" s="76" t="str">
        <x:v>https://www.travel.dod.mil/Allowances/Basic-Allowance-for-Housing/BAH-Rate-Lookup/</x:v>
      </x:c>
      <x:c r="T126" s="76" t="str">
        <x:v>https://www.dfas.mil/militarymembers/payentitlements/Pay-Tables/bas/</x:v>
      </x:c>
    </x:row>
    <x:row r="127">
      <x:c r="A127" s="19" t="n">
        <x:v>2021</x:v>
      </x:c>
      <x:c r="B127" s="19" t="str">
        <x:v>Actual</x:v>
      </x:c>
      <x:c r="C127" s="19" t="str">
        <x:v>O-2</x:v>
      </x:c>
      <x:c r="D127" s="19" t="str">
        <x:v>O-2 over 2</x:v>
      </x:c>
      <x:c r="E127" s="69" t="n">
        <x:v>0</x:v>
      </x:c>
      <x:c r="F127" s="79" t="n">
        <x:v>4442.7</x:v>
      </x:c>
      <x:c r="G127" s="80" t="n">
        <x:f>F127*'Assumptions &amp; Sources'!$B$7</x:f>
        <x:v>53312.399999999994</x:v>
      </x:c>
      <x:c r="H127" s="79" t="n">
        <x:v>1617</x:v>
      </x:c>
      <x:c r="I127" s="80" t="n">
        <x:f>H127*'Assumptions &amp; Sources'!$B$7</x:f>
        <x:v>19404</x:v>
      </x:c>
      <x:c r="J127" s="79" t="n">
        <x:v>266.18</x:v>
      </x:c>
      <x:c r="K127" s="80" t="n">
        <x:f>J127*'Assumptions &amp; Sources'!$B$7</x:f>
        <x:v>3194.16</x:v>
      </x:c>
      <x:c r="L127" s="80" t="n">
        <x:f>I127+K127</x:f>
        <x:v>22598.16</x:v>
      </x:c>
      <x:c r="M127" s="80" t="n">
        <x:f>G127+I127+K127</x:f>
        <x:v>75910.56</x:v>
      </x:c>
      <x:c r="N127" s="80" t="n">
        <x:f>L127*'Dashboard'!$K$4/(1-'Dashboard'!$K$4)</x:f>
        <x:v>6373.839999999999</x:v>
      </x:c>
      <x:c r="O127" s="80" t="n">
        <x:f>M127+N127</x:f>
        <x:v>82284.4</x:v>
      </x:c>
      <x:c r="P127" s="30" t="str">
        <x:v>OGDEN/HILL AFB, UT (UT291)</x:v>
      </x:c>
      <x:c r="Q127" s="30" t="str">
        <x:v>Year=2021; ZIP=84056; Pay grade=O-2; Dependents=With dependents</x:v>
      </x:c>
      <x:c r="R127" s="76" t="str">
        <x:v>https://www.dfas.mil/Portals/98/Documents/militarymembers/militarymembers/pay-tables/2021%20MilPay%20General.pdf?ver=MkfmQyc245XzKP414-iRVA%3d%3d</x:v>
      </x:c>
      <x:c r="S127" s="76" t="str">
        <x:v>https://www.travel.dod.mil/Allowances/Basic-Allowance-for-Housing/BAH-Rate-Lookup/</x:v>
      </x:c>
      <x:c r="T127" s="76" t="str">
        <x:v>https://www.dfas.mil/militarymembers/payentitlements/Pay-Tables/bas/</x:v>
      </x:c>
    </x:row>
    <x:row r="128">
      <x:c r="A128" s="19" t="n">
        <x:v>2021</x:v>
      </x:c>
      <x:c r="B128" s="19" t="str">
        <x:v>Actual</x:v>
      </x:c>
      <x:c r="C128" s="19" t="str">
        <x:v>O-3</x:v>
      </x:c>
      <x:c r="D128" s="19" t="str">
        <x:v>O-3 over 6</x:v>
      </x:c>
      <x:c r="E128" s="69" t="n">
        <x:v>0</x:v>
      </x:c>
      <x:c r="F128" s="79" t="n">
        <x:v>6311.7</x:v>
      </x:c>
      <x:c r="G128" s="80" t="n">
        <x:f>F128*'Assumptions &amp; Sources'!$B$7</x:f>
        <x:v>75740.4</x:v>
      </x:c>
      <x:c r="H128" s="79" t="n">
        <x:v>1782</x:v>
      </x:c>
      <x:c r="I128" s="80" t="n">
        <x:f>H128*'Assumptions &amp; Sources'!$B$7</x:f>
        <x:v>21384</x:v>
      </x:c>
      <x:c r="J128" s="79" t="n">
        <x:v>266.18</x:v>
      </x:c>
      <x:c r="K128" s="80" t="n">
        <x:f>J128*'Assumptions &amp; Sources'!$B$7</x:f>
        <x:v>3194.16</x:v>
      </x:c>
      <x:c r="L128" s="80" t="n">
        <x:f>I128+K128</x:f>
        <x:v>24578.16</x:v>
      </x:c>
      <x:c r="M128" s="80" t="n">
        <x:f>G128+I128+K128</x:f>
        <x:v>100318.56</x:v>
      </x:c>
      <x:c r="N128" s="80" t="n">
        <x:f>L128*'Dashboard'!$K$4/(1-'Dashboard'!$K$4)</x:f>
        <x:v>6932.301538461538</x:v>
      </x:c>
      <x:c r="O128" s="80" t="n">
        <x:f>M128+N128</x:f>
        <x:v>107250.86153846154</x:v>
      </x:c>
      <x:c r="P128" s="30" t="str">
        <x:v>OGDEN/HILL AFB, UT (UT291)</x:v>
      </x:c>
      <x:c r="Q128" s="30" t="str">
        <x:v>Year=2021; ZIP=84056; Pay grade=O-3; Dependents=With dependents</x:v>
      </x:c>
      <x:c r="R128" s="76" t="str">
        <x:v>https://www.dfas.mil/Portals/98/Documents/militarymembers/militarymembers/pay-tables/2021%20MilPay%20General.pdf?ver=MkfmQyc245XzKP414-iRVA%3d%3d</x:v>
      </x:c>
      <x:c r="S128" s="76" t="str">
        <x:v>https://www.travel.dod.mil/Allowances/Basic-Allowance-for-Housing/BAH-Rate-Lookup/</x:v>
      </x:c>
      <x:c r="T128" s="76" t="str">
        <x:v>https://www.dfas.mil/militarymembers/payentitlements/Pay-Tables/bas/</x:v>
      </x:c>
    </x:row>
    <x:row r="129">
      <x:c r="A129" s="19" t="n">
        <x:v>2021</x:v>
      </x:c>
      <x:c r="B129" s="19" t="str">
        <x:v>Actual</x:v>
      </x:c>
      <x:c r="C129" s="19" t="str">
        <x:v>O-4</x:v>
      </x:c>
      <x:c r="D129" s="19" t="str">
        <x:v>O-4 over 10</x:v>
      </x:c>
      <x:c r="E129" s="69" t="n">
        <x:v>0</x:v>
      </x:c>
      <x:c r="F129" s="79" t="n">
        <x:v>7684.2</x:v>
      </x:c>
      <x:c r="G129" s="80" t="n">
        <x:f>F129*'Assumptions &amp; Sources'!$B$7</x:f>
        <x:v>92210.4</x:v>
      </x:c>
      <x:c r="H129" s="79" t="n">
        <x:v>1938</x:v>
      </x:c>
      <x:c r="I129" s="80" t="n">
        <x:f>H129*'Assumptions &amp; Sources'!$B$7</x:f>
        <x:v>23256</x:v>
      </x:c>
      <x:c r="J129" s="79" t="n">
        <x:v>266.18</x:v>
      </x:c>
      <x:c r="K129" s="80" t="n">
        <x:f>J129*'Assumptions &amp; Sources'!$B$7</x:f>
        <x:v>3194.16</x:v>
      </x:c>
      <x:c r="L129" s="80" t="n">
        <x:f>I129+K129</x:f>
        <x:v>26450.16</x:v>
      </x:c>
      <x:c r="M129" s="80" t="n">
        <x:f>G129+I129+K129</x:f>
        <x:v>118660.56</x:v>
      </x:c>
      <x:c r="N129" s="80" t="n">
        <x:f>L129*'Dashboard'!$K$4/(1-'Dashboard'!$K$4)</x:f>
        <x:v>7460.301538461538</x:v>
      </x:c>
      <x:c r="O129" s="80" t="n">
        <x:f>M129+N129</x:f>
        <x:v>126120.86153846154</x:v>
      </x:c>
      <x:c r="P129" s="30" t="str">
        <x:v>OGDEN/HILL AFB, UT (UT291)</x:v>
      </x:c>
      <x:c r="Q129" s="30" t="str">
        <x:v>Year=2021; ZIP=84056; Pay grade=O-4; Dependents=With dependents</x:v>
      </x:c>
      <x:c r="R129" s="76" t="str">
        <x:v>https://www.dfas.mil/Portals/98/Documents/militarymembers/militarymembers/pay-tables/2021%20MilPay%20General.pdf?ver=MkfmQyc245XzKP414-iRVA%3d%3d</x:v>
      </x:c>
      <x:c r="S129" s="76" t="str">
        <x:v>https://www.travel.dod.mil/Allowances/Basic-Allowance-for-Housing/BAH-Rate-Lookup/</x:v>
      </x:c>
      <x:c r="T129" s="76" t="str">
        <x:v>https://www.dfas.mil/militarymembers/payentitlements/Pay-Tables/bas/</x:v>
      </x:c>
    </x:row>
    <x:row r="130">
      <x:c r="A130" s="19" t="n">
        <x:v>2021</x:v>
      </x:c>
      <x:c r="B130" s="19" t="str">
        <x:v>Actual</x:v>
      </x:c>
      <x:c r="C130" s="19" t="str">
        <x:v>O-5</x:v>
      </x:c>
      <x:c r="D130" s="19" t="str">
        <x:v>O-5 over 16</x:v>
      </x:c>
      <x:c r="E130" s="69" t="n">
        <x:v>0</x:v>
      </x:c>
      <x:c r="F130" s="79" t="n">
        <x:v>9293.1</x:v>
      </x:c>
      <x:c r="G130" s="80" t="n">
        <x:f>F130*'Assumptions &amp; Sources'!$B$7</x:f>
        <x:v>111517.20000000001</x:v>
      </x:c>
      <x:c r="H130" s="79" t="n">
        <x:v>2049</x:v>
      </x:c>
      <x:c r="I130" s="80" t="n">
        <x:f>H130*'Assumptions &amp; Sources'!$B$7</x:f>
        <x:v>24588</x:v>
      </x:c>
      <x:c r="J130" s="79" t="n">
        <x:v>266.18</x:v>
      </x:c>
      <x:c r="K130" s="80" t="n">
        <x:f>J130*'Assumptions &amp; Sources'!$B$7</x:f>
        <x:v>3194.16</x:v>
      </x:c>
      <x:c r="L130" s="80" t="n">
        <x:f>I130+K130</x:f>
        <x:v>27782.16</x:v>
      </x:c>
      <x:c r="M130" s="80" t="n">
        <x:f>G130+I130+K130</x:f>
        <x:v>139299.36000000002</x:v>
      </x:c>
      <x:c r="N130" s="80" t="n">
        <x:f>L130*'Dashboard'!$K$4/(1-'Dashboard'!$K$4)</x:f>
        <x:v>7835.993846153846</x:v>
      </x:c>
      <x:c r="O130" s="80" t="n">
        <x:f>M130+N130</x:f>
        <x:v>147135.35384615386</x:v>
      </x:c>
      <x:c r="P130" s="30" t="str">
        <x:v>OGDEN/HILL AFB, UT (UT291)</x:v>
      </x:c>
      <x:c r="Q130" s="30" t="str">
        <x:v>Year=2021; ZIP=84056; Pay grade=O-5; Dependents=With dependents</x:v>
      </x:c>
      <x:c r="R130" s="76" t="str">
        <x:v>https://www.dfas.mil/Portals/98/Documents/militarymembers/militarymembers/pay-tables/2021%20MilPay%20General.pdf?ver=MkfmQyc245XzKP414-iRVA%3d%3d</x:v>
      </x:c>
      <x:c r="S130" s="76" t="str">
        <x:v>https://www.travel.dod.mil/Allowances/Basic-Allowance-for-Housing/BAH-Rate-Lookup/</x:v>
      </x:c>
      <x:c r="T130" s="76" t="str">
        <x:v>https://www.dfas.mil/militarymembers/payentitlements/Pay-Tables/bas/</x:v>
      </x:c>
    </x:row>
    <x:row r="131">
      <x:c r="A131" s="19" t="n">
        <x:v>2021</x:v>
      </x:c>
      <x:c r="B131" s="19" t="str">
        <x:v>Actual</x:v>
      </x:c>
      <x:c r="C131" s="19" t="str">
        <x:v>O-6</x:v>
      </x:c>
      <x:c r="D131" s="19" t="str">
        <x:v>O-6 over 22</x:v>
      </x:c>
      <x:c r="E131" s="69" t="n">
        <x:v>0</x:v>
      </x:c>
      <x:c r="F131" s="79" t="n">
        <x:v>11512.8</x:v>
      </x:c>
      <x:c r="G131" s="80" t="n">
        <x:f>F131*'Assumptions &amp; Sources'!$B$7</x:f>
        <x:v>138153.59999999998</x:v>
      </x:c>
      <x:c r="H131" s="79" t="n">
        <x:v>2064</x:v>
      </x:c>
      <x:c r="I131" s="80" t="n">
        <x:f>H131*'Assumptions &amp; Sources'!$B$7</x:f>
        <x:v>24768</x:v>
      </x:c>
      <x:c r="J131" s="79" t="n">
        <x:v>266.18</x:v>
      </x:c>
      <x:c r="K131" s="80" t="n">
        <x:f>J131*'Assumptions &amp; Sources'!$B$7</x:f>
        <x:v>3194.16</x:v>
      </x:c>
      <x:c r="L131" s="80" t="n">
        <x:f>I131+K131</x:f>
        <x:v>27962.16</x:v>
      </x:c>
      <x:c r="M131" s="80" t="n">
        <x:f>G131+I131+K131</x:f>
        <x:v>166115.75999999998</x:v>
      </x:c>
      <x:c r="N131" s="80" t="n">
        <x:f>L131*'Dashboard'!$K$4/(1-'Dashboard'!$K$4)</x:f>
        <x:v>7886.763076923076</x:v>
      </x:c>
      <x:c r="O131" s="80" t="n">
        <x:f>M131+N131</x:f>
        <x:v>174002.52307692307</x:v>
      </x:c>
      <x:c r="P131" s="30" t="str">
        <x:v>OGDEN/HILL AFB, UT (UT291)</x:v>
      </x:c>
      <x:c r="Q131" s="30" t="str">
        <x:v>Year=2021; ZIP=84056; Pay grade=O-6; Dependents=With dependents</x:v>
      </x:c>
      <x:c r="R131" s="76" t="str">
        <x:v>https://www.dfas.mil/Portals/98/Documents/militarymembers/militarymembers/pay-tables/2021%20MilPay%20General.pdf?ver=MkfmQyc245XzKP414-iRVA%3d%3d</x:v>
      </x:c>
      <x:c r="S131" s="76" t="str">
        <x:v>https://www.travel.dod.mil/Allowances/Basic-Allowance-for-Housing/BAH-Rate-Lookup/</x:v>
      </x:c>
      <x:c r="T131" s="76" t="str">
        <x:v>https://www.dfas.mil/militarymembers/payentitlements/Pay-Tables/bas/</x:v>
      </x:c>
    </x:row>
    <x:row r="132">
      <x:c r="A132" s="19" t="n">
        <x:v>2022</x:v>
      </x:c>
      <x:c r="B132" s="19" t="str">
        <x:v>Actual</x:v>
      </x:c>
      <x:c r="C132" s="19" t="str">
        <x:v>O-1</x:v>
      </x:c>
      <x:c r="D132" s="19" t="str">
        <x:v>O-1 under 2</x:v>
      </x:c>
      <x:c r="E132" s="69" t="n">
        <x:v>0</x:v>
      </x:c>
      <x:c r="F132" s="79" t="n">
        <x:v>3477.3</x:v>
      </x:c>
      <x:c r="G132" s="80" t="n">
        <x:f>F132*'Assumptions &amp; Sources'!$B$7</x:f>
        <x:v>41727.600000000006</x:v>
      </x:c>
      <x:c r="H132" s="79" t="n">
        <x:v>1710</x:v>
      </x:c>
      <x:c r="I132" s="80" t="n">
        <x:f>H132*'Assumptions &amp; Sources'!$B$7</x:f>
        <x:v>20520</x:v>
      </x:c>
      <x:c r="J132" s="79" t="n">
        <x:v>280.29</x:v>
      </x:c>
      <x:c r="K132" s="80" t="n">
        <x:f>J132*'Assumptions &amp; Sources'!$B$7</x:f>
        <x:v>3363.4800000000005</x:v>
      </x:c>
      <x:c r="L132" s="80" t="n">
        <x:f>I132+K132</x:f>
        <x:v>23883.48</x:v>
      </x:c>
      <x:c r="M132" s="80" t="n">
        <x:f>G132+I132+K132</x:f>
        <x:v>65611.08</x:v>
      </x:c>
      <x:c r="N132" s="80" t="n">
        <x:f>L132*'Dashboard'!$K$4/(1-'Dashboard'!$K$4)</x:f>
        <x:v>6736.366153846154</x:v>
      </x:c>
      <x:c r="O132" s="80" t="n">
        <x:f>M132+N132</x:f>
        <x:v>72347.44615384616</x:v>
      </x:c>
      <x:c r="P132" s="30" t="str">
        <x:v>OGDEN/HILL AFB, UT (UT291)</x:v>
      </x:c>
      <x:c r="Q132" s="30" t="str">
        <x:v>Year=2022; ZIP=84056; Pay grade=O-1; Dependents=With dependents</x:v>
      </x:c>
      <x:c r="R132" s="76" t="str">
        <x:v>https://www.dfas.mil/Portals/98/Documents/militarymembers/militarymembers/pay-tables/2022%20Military%20Pay%20Tables.pdf?ver=eyZKK478XVelcSQoEG7xFA%3d%3d</x:v>
      </x:c>
      <x:c r="S132" s="76" t="str">
        <x:v>https://www.travel.dod.mil/Allowances/Basic-Allowance-for-Housing/BAH-Rate-Lookup/</x:v>
      </x:c>
      <x:c r="T132" s="76" t="str">
        <x:v>https://www.dfas.mil/militarymembers/payentitlements/Pay-Tables/bas/</x:v>
      </x:c>
    </x:row>
    <x:row r="133">
      <x:c r="A133" s="19" t="n">
        <x:v>2022</x:v>
      </x:c>
      <x:c r="B133" s="19" t="str">
        <x:v>Actual</x:v>
      </x:c>
      <x:c r="C133" s="19" t="str">
        <x:v>O-2</x:v>
      </x:c>
      <x:c r="D133" s="19" t="str">
        <x:v>O-2 over 2</x:v>
      </x:c>
      <x:c r="E133" s="69" t="n">
        <x:v>0</x:v>
      </x:c>
      <x:c r="F133" s="79" t="n">
        <x:v>4562.7</x:v>
      </x:c>
      <x:c r="G133" s="80" t="n">
        <x:f>F133*'Assumptions &amp; Sources'!$B$7</x:f>
        <x:v>54752.399999999994</x:v>
      </x:c>
      <x:c r="H133" s="79" t="n">
        <x:v>1779</x:v>
      </x:c>
      <x:c r="I133" s="80" t="n">
        <x:f>H133*'Assumptions &amp; Sources'!$B$7</x:f>
        <x:v>21348</x:v>
      </x:c>
      <x:c r="J133" s="79" t="n">
        <x:v>280.29</x:v>
      </x:c>
      <x:c r="K133" s="80" t="n">
        <x:f>J133*'Assumptions &amp; Sources'!$B$7</x:f>
        <x:v>3363.4800000000005</x:v>
      </x:c>
      <x:c r="L133" s="80" t="n">
        <x:f>I133+K133</x:f>
        <x:v>24711.48</x:v>
      </x:c>
      <x:c r="M133" s="80" t="n">
        <x:f>G133+I133+K133</x:f>
        <x:v>79463.87999999999</x:v>
      </x:c>
      <x:c r="N133" s="80" t="n">
        <x:f>L133*'Dashboard'!$K$4/(1-'Dashboard'!$K$4)</x:f>
        <x:v>6969.904615384615</x:v>
      </x:c>
      <x:c r="O133" s="80" t="n">
        <x:f>M133+N133</x:f>
        <x:v>86433.7846153846</x:v>
      </x:c>
      <x:c r="P133" s="30" t="str">
        <x:v>OGDEN/HILL AFB, UT (UT291)</x:v>
      </x:c>
      <x:c r="Q133" s="30" t="str">
        <x:v>Year=2022; ZIP=84056; Pay grade=O-2; Dependents=With dependents</x:v>
      </x:c>
      <x:c r="R133" s="76" t="str">
        <x:v>https://www.dfas.mil/Portals/98/Documents/militarymembers/militarymembers/pay-tables/2022%20Military%20Pay%20Tables.pdf?ver=eyZKK478XVelcSQoEG7xFA%3d%3d</x:v>
      </x:c>
      <x:c r="S133" s="76" t="str">
        <x:v>https://www.travel.dod.mil/Allowances/Basic-Allowance-for-Housing/BAH-Rate-Lookup/</x:v>
      </x:c>
      <x:c r="T133" s="76" t="str">
        <x:v>https://www.dfas.mil/militarymembers/payentitlements/Pay-Tables/bas/</x:v>
      </x:c>
    </x:row>
    <x:row r="134">
      <x:c r="A134" s="19" t="n">
        <x:v>2022</x:v>
      </x:c>
      <x:c r="B134" s="19" t="str">
        <x:v>Actual</x:v>
      </x:c>
      <x:c r="C134" s="19" t="str">
        <x:v>O-3</x:v>
      </x:c>
      <x:c r="D134" s="19" t="str">
        <x:v>O-3 over 6</x:v>
      </x:c>
      <x:c r="E134" s="69" t="n">
        <x:v>0</x:v>
      </x:c>
      <x:c r="F134" s="79" t="n">
        <x:v>6482.1</x:v>
      </x:c>
      <x:c r="G134" s="80" t="n">
        <x:f>F134*'Assumptions &amp; Sources'!$B$7</x:f>
        <x:v>77785.20000000001</x:v>
      </x:c>
      <x:c r="H134" s="79" t="n">
        <x:v>1890</x:v>
      </x:c>
      <x:c r="I134" s="80" t="n">
        <x:f>H134*'Assumptions &amp; Sources'!$B$7</x:f>
        <x:v>22680</x:v>
      </x:c>
      <x:c r="J134" s="79" t="n">
        <x:v>280.29</x:v>
      </x:c>
      <x:c r="K134" s="80" t="n">
        <x:f>J134*'Assumptions &amp; Sources'!$B$7</x:f>
        <x:v>3363.4800000000005</x:v>
      </x:c>
      <x:c r="L134" s="80" t="n">
        <x:f>I134+K134</x:f>
        <x:v>26043.48</x:v>
      </x:c>
      <x:c r="M134" s="80" t="n">
        <x:f>G134+I134+K134</x:f>
        <x:v>103828.68000000001</x:v>
      </x:c>
      <x:c r="N134" s="80" t="n">
        <x:f>L134*'Dashboard'!$K$4/(1-'Dashboard'!$K$4)</x:f>
        <x:v>7345.596923076922</x:v>
      </x:c>
      <x:c r="O134" s="80" t="n">
        <x:f>M134+N134</x:f>
        <x:v>111174.27692307693</x:v>
      </x:c>
      <x:c r="P134" s="30" t="str">
        <x:v>OGDEN/HILL AFB, UT (UT291)</x:v>
      </x:c>
      <x:c r="Q134" s="30" t="str">
        <x:v>Year=2022; ZIP=84056; Pay grade=O-3; Dependents=With dependents</x:v>
      </x:c>
      <x:c r="R134" s="76" t="str">
        <x:v>https://www.dfas.mil/Portals/98/Documents/militarymembers/militarymembers/pay-tables/2022%20Military%20Pay%20Tables.pdf?ver=eyZKK478XVelcSQoEG7xFA%3d%3d</x:v>
      </x:c>
      <x:c r="S134" s="76" t="str">
        <x:v>https://www.travel.dod.mil/Allowances/Basic-Allowance-for-Housing/BAH-Rate-Lookup/</x:v>
      </x:c>
      <x:c r="T134" s="76" t="str">
        <x:v>https://www.dfas.mil/militarymembers/payentitlements/Pay-Tables/bas/</x:v>
      </x:c>
    </x:row>
    <x:row r="135">
      <x:c r="A135" s="19" t="n">
        <x:v>2022</x:v>
      </x:c>
      <x:c r="B135" s="19" t="str">
        <x:v>Actual</x:v>
      </x:c>
      <x:c r="C135" s="19" t="str">
        <x:v>O-4</x:v>
      </x:c>
      <x:c r="D135" s="19" t="str">
        <x:v>O-4 over 10</x:v>
      </x:c>
      <x:c r="E135" s="69" t="n">
        <x:v>0</x:v>
      </x:c>
      <x:c r="F135" s="79" t="n">
        <x:v>7891.8</x:v>
      </x:c>
      <x:c r="G135" s="80" t="n">
        <x:f>F135*'Assumptions &amp; Sources'!$B$7</x:f>
        <x:v>94701.6</x:v>
      </x:c>
      <x:c r="H135" s="79" t="n">
        <x:v>2091</x:v>
      </x:c>
      <x:c r="I135" s="80" t="n">
        <x:f>H135*'Assumptions &amp; Sources'!$B$7</x:f>
        <x:v>25092</x:v>
      </x:c>
      <x:c r="J135" s="79" t="n">
        <x:v>280.29</x:v>
      </x:c>
      <x:c r="K135" s="80" t="n">
        <x:f>J135*'Assumptions &amp; Sources'!$B$7</x:f>
        <x:v>3363.4800000000005</x:v>
      </x:c>
      <x:c r="L135" s="80" t="n">
        <x:f>I135+K135</x:f>
        <x:v>28455.48</x:v>
      </x:c>
      <x:c r="M135" s="80" t="n">
        <x:f>G135+I135+K135</x:f>
        <x:v>123157.08</x:v>
      </x:c>
      <x:c r="N135" s="80" t="n">
        <x:f>L135*'Dashboard'!$K$4/(1-'Dashboard'!$K$4)</x:f>
        <x:v>8025.904615384616</x:v>
      </x:c>
      <x:c r="O135" s="80" t="n">
        <x:f>M135+N135</x:f>
        <x:v>131182.98461538463</x:v>
      </x:c>
      <x:c r="P135" s="30" t="str">
        <x:v>OGDEN/HILL AFB, UT (UT291)</x:v>
      </x:c>
      <x:c r="Q135" s="30" t="str">
        <x:v>Year=2022; ZIP=84056; Pay grade=O-4; Dependents=With dependents</x:v>
      </x:c>
      <x:c r="R135" s="76" t="str">
        <x:v>https://www.dfas.mil/Portals/98/Documents/militarymembers/militarymembers/pay-tables/2022%20Military%20Pay%20Tables.pdf?ver=eyZKK478XVelcSQoEG7xFA%3d%3d</x:v>
      </x:c>
      <x:c r="S135" s="76" t="str">
        <x:v>https://www.travel.dod.mil/Allowances/Basic-Allowance-for-Housing/BAH-Rate-Lookup/</x:v>
      </x:c>
      <x:c r="T135" s="76" t="str">
        <x:v>https://www.dfas.mil/militarymembers/payentitlements/Pay-Tables/bas/</x:v>
      </x:c>
    </x:row>
    <x:row r="136">
      <x:c r="A136" s="19" t="n">
        <x:v>2022</x:v>
      </x:c>
      <x:c r="B136" s="19" t="str">
        <x:v>Actual</x:v>
      </x:c>
      <x:c r="C136" s="19" t="str">
        <x:v>O-5</x:v>
      </x:c>
      <x:c r="D136" s="19" t="str">
        <x:v>O-5 over 16</x:v>
      </x:c>
      <x:c r="E136" s="69" t="n">
        <x:v>0</x:v>
      </x:c>
      <x:c r="F136" s="79" t="n">
        <x:v>9543.9</x:v>
      </x:c>
      <x:c r="G136" s="80" t="n">
        <x:f>F136*'Assumptions &amp; Sources'!$B$7</x:f>
        <x:v>114526.79999999999</x:v>
      </x:c>
      <x:c r="H136" s="79" t="n">
        <x:v>2235</x:v>
      </x:c>
      <x:c r="I136" s="80" t="n">
        <x:f>H136*'Assumptions &amp; Sources'!$B$7</x:f>
        <x:v>26820</x:v>
      </x:c>
      <x:c r="J136" s="79" t="n">
        <x:v>280.29</x:v>
      </x:c>
      <x:c r="K136" s="80" t="n">
        <x:f>J136*'Assumptions &amp; Sources'!$B$7</x:f>
        <x:v>3363.4800000000005</x:v>
      </x:c>
      <x:c r="L136" s="80" t="n">
        <x:f>I136+K136</x:f>
        <x:v>30183.48</x:v>
      </x:c>
      <x:c r="M136" s="80" t="n">
        <x:f>G136+I136+K136</x:f>
        <x:v>144710.28</x:v>
      </x:c>
      <x:c r="N136" s="80" t="n">
        <x:f>L136*'Dashboard'!$K$4/(1-'Dashboard'!$K$4)</x:f>
        <x:v>8513.289230769231</x:v>
      </x:c>
      <x:c r="O136" s="80" t="n">
        <x:f>M136+N136</x:f>
        <x:v>153223.56923076924</x:v>
      </x:c>
      <x:c r="P136" s="30" t="str">
        <x:v>OGDEN/HILL AFB, UT (UT291)</x:v>
      </x:c>
      <x:c r="Q136" s="30" t="str">
        <x:v>Year=2022; ZIP=84056; Pay grade=O-5; Dependents=With dependents</x:v>
      </x:c>
      <x:c r="R136" s="76" t="str">
        <x:v>https://www.dfas.mil/Portals/98/Documents/militarymembers/militarymembers/pay-tables/2022%20Military%20Pay%20Tables.pdf?ver=eyZKK478XVelcSQoEG7xFA%3d%3d</x:v>
      </x:c>
      <x:c r="S136" s="76" t="str">
        <x:v>https://www.travel.dod.mil/Allowances/Basic-Allowance-for-Housing/BAH-Rate-Lookup/</x:v>
      </x:c>
      <x:c r="T136" s="76" t="str">
        <x:v>https://www.dfas.mil/militarymembers/payentitlements/Pay-Tables/bas/</x:v>
      </x:c>
    </x:row>
    <x:row r="137">
      <x:c r="A137" s="19" t="n">
        <x:v>2022</x:v>
      </x:c>
      <x:c r="B137" s="19" t="str">
        <x:v>Actual</x:v>
      </x:c>
      <x:c r="C137" s="19" t="str">
        <x:v>O-6</x:v>
      </x:c>
      <x:c r="D137" s="19" t="str">
        <x:v>O-6 over 22</x:v>
      </x:c>
      <x:c r="E137" s="69" t="n">
        <x:v>0</x:v>
      </x:c>
      <x:c r="F137" s="79" t="n">
        <x:v>11823.6</x:v>
      </x:c>
      <x:c r="G137" s="80" t="n">
        <x:f>F137*'Assumptions &amp; Sources'!$B$7</x:f>
        <x:v>141883.2</x:v>
      </x:c>
      <x:c r="H137" s="79" t="n">
        <x:v>2250</x:v>
      </x:c>
      <x:c r="I137" s="80" t="n">
        <x:f>H137*'Assumptions &amp; Sources'!$B$7</x:f>
        <x:v>27000</x:v>
      </x:c>
      <x:c r="J137" s="79" t="n">
        <x:v>280.29</x:v>
      </x:c>
      <x:c r="K137" s="80" t="n">
        <x:f>J137*'Assumptions &amp; Sources'!$B$7</x:f>
        <x:v>3363.4800000000005</x:v>
      </x:c>
      <x:c r="L137" s="80" t="n">
        <x:f>I137+K137</x:f>
        <x:v>30363.48</x:v>
      </x:c>
      <x:c r="M137" s="80" t="n">
        <x:f>G137+I137+K137</x:f>
        <x:v>172246.68000000002</x:v>
      </x:c>
      <x:c r="N137" s="80" t="n">
        <x:f>L137*'Dashboard'!$K$4/(1-'Dashboard'!$K$4)</x:f>
        <x:v>8564.058461538461</x:v>
      </x:c>
      <x:c r="O137" s="80" t="n">
        <x:f>M137+N137</x:f>
        <x:v>180810.73846153848</x:v>
      </x:c>
      <x:c r="P137" s="30" t="str">
        <x:v>OGDEN/HILL AFB, UT (UT291)</x:v>
      </x:c>
      <x:c r="Q137" s="30" t="str">
        <x:v>Year=2022; ZIP=84056; Pay grade=O-6; Dependents=With dependents</x:v>
      </x:c>
      <x:c r="R137" s="76" t="str">
        <x:v>https://www.dfas.mil/Portals/98/Documents/militarymembers/militarymembers/pay-tables/2022%20Military%20Pay%20Tables.pdf?ver=eyZKK478XVelcSQoEG7xFA%3d%3d</x:v>
      </x:c>
      <x:c r="S137" s="76" t="str">
        <x:v>https://www.travel.dod.mil/Allowances/Basic-Allowance-for-Housing/BAH-Rate-Lookup/</x:v>
      </x:c>
      <x:c r="T137" s="76" t="str">
        <x:v>https://www.dfas.mil/militarymembers/payentitlements/Pay-Tables/bas/</x:v>
      </x:c>
    </x:row>
    <x:row r="138">
      <x:c r="A138" s="19" t="n">
        <x:v>2023</x:v>
      </x:c>
      <x:c r="B138" s="19" t="str">
        <x:v>Actual</x:v>
      </x:c>
      <x:c r="C138" s="19" t="str">
        <x:v>O-1</x:v>
      </x:c>
      <x:c r="D138" s="19" t="str">
        <x:v>O-1 under 2</x:v>
      </x:c>
      <x:c r="E138" s="69" t="n">
        <x:v>0</x:v>
      </x:c>
      <x:c r="F138" s="79" t="n">
        <x:v>3637.2</x:v>
      </x:c>
      <x:c r="G138" s="80" t="n">
        <x:f>F138*'Assumptions &amp; Sources'!$B$7</x:f>
        <x:v>43646.399999999994</x:v>
      </x:c>
      <x:c r="H138" s="79" t="n">
        <x:v>1983</x:v>
      </x:c>
      <x:c r="I138" s="80" t="n">
        <x:f>H138*'Assumptions &amp; Sources'!$B$7</x:f>
        <x:v>23796</x:v>
      </x:c>
      <x:c r="J138" s="79" t="n">
        <x:v>311.68</x:v>
      </x:c>
      <x:c r="K138" s="80" t="n">
        <x:f>J138*'Assumptions &amp; Sources'!$B$7</x:f>
        <x:v>3740.16</x:v>
      </x:c>
      <x:c r="L138" s="80" t="n">
        <x:f>I138+K138</x:f>
        <x:v>27536.16</x:v>
      </x:c>
      <x:c r="M138" s="80" t="n">
        <x:f>G138+I138+K138</x:f>
        <x:v>71182.56</x:v>
      </x:c>
      <x:c r="N138" s="80" t="n">
        <x:f>L138*'Dashboard'!$K$4/(1-'Dashboard'!$K$4)</x:f>
        <x:v>7766.609230769231</x:v>
      </x:c>
      <x:c r="O138" s="80" t="n">
        <x:f>M138+N138</x:f>
        <x:v>78949.16923076923</x:v>
      </x:c>
      <x:c r="P138" s="30" t="str">
        <x:v>OGDEN/HILL AFB, UT (UT291)</x:v>
      </x:c>
      <x:c r="Q138" s="30" t="str">
        <x:v>Year=2023; ZIP=84056; Pay grade=O-1; Dependents=With dependents</x:v>
      </x:c>
      <x:c r="R138" s="76" t="str">
        <x:v>https://www.dfas.mil/Portals/98/Documents/militarymembers/militarymembers/pay-tables/2023%20AC_RC%20Pay%20Table1.pdf?ver=NUrUfCrNLYPqk6TT20HCXw%3d%3d</x:v>
      </x:c>
      <x:c r="S138" s="76" t="str">
        <x:v>https://www.travel.dod.mil/Allowances/Basic-Allowance-for-Housing/BAH-Rate-Lookup/</x:v>
      </x:c>
      <x:c r="T138" s="76" t="str">
        <x:v>https://www.dfas.mil/militarymembers/payentitlements/Pay-Tables/bas/</x:v>
      </x:c>
    </x:row>
    <x:row r="139">
      <x:c r="A139" s="19" t="n">
        <x:v>2023</x:v>
      </x:c>
      <x:c r="B139" s="19" t="str">
        <x:v>Actual</x:v>
      </x:c>
      <x:c r="C139" s="19" t="str">
        <x:v>O-2</x:v>
      </x:c>
      <x:c r="D139" s="19" t="str">
        <x:v>O-2 over 2</x:v>
      </x:c>
      <x:c r="E139" s="69" t="n">
        <x:v>0</x:v>
      </x:c>
      <x:c r="F139" s="79" t="n">
        <x:v>4772.7</x:v>
      </x:c>
      <x:c r="G139" s="80" t="n">
        <x:f>F139*'Assumptions &amp; Sources'!$B$7</x:f>
        <x:v>57272.399999999994</x:v>
      </x:c>
      <x:c r="H139" s="79" t="n">
        <x:v>2037</x:v>
      </x:c>
      <x:c r="I139" s="80" t="n">
        <x:f>H139*'Assumptions &amp; Sources'!$B$7</x:f>
        <x:v>24444</x:v>
      </x:c>
      <x:c r="J139" s="79" t="n">
        <x:v>311.68</x:v>
      </x:c>
      <x:c r="K139" s="80" t="n">
        <x:f>J139*'Assumptions &amp; Sources'!$B$7</x:f>
        <x:v>3740.16</x:v>
      </x:c>
      <x:c r="L139" s="80" t="n">
        <x:f>I139+K139</x:f>
        <x:v>28184.16</x:v>
      </x:c>
      <x:c r="M139" s="80" t="n">
        <x:f>G139+I139+K139</x:f>
        <x:v>85456.56</x:v>
      </x:c>
      <x:c r="N139" s="80" t="n">
        <x:f>L139*'Dashboard'!$K$4/(1-'Dashboard'!$K$4)</x:f>
        <x:v>7949.378461538461</x:v>
      </x:c>
      <x:c r="O139" s="80" t="n">
        <x:f>M139+N139</x:f>
        <x:v>93405.93846153846</x:v>
      </x:c>
      <x:c r="P139" s="30" t="str">
        <x:v>OGDEN/HILL AFB, UT (UT291)</x:v>
      </x:c>
      <x:c r="Q139" s="30" t="str">
        <x:v>Year=2023; ZIP=84056; Pay grade=O-2; Dependents=With dependents</x:v>
      </x:c>
      <x:c r="R139" s="76" t="str">
        <x:v>https://www.dfas.mil/Portals/98/Documents/militarymembers/militarymembers/pay-tables/2023%20AC_RC%20Pay%20Table1.pdf?ver=NUrUfCrNLYPqk6TT20HCXw%3d%3d</x:v>
      </x:c>
      <x:c r="S139" s="76" t="str">
        <x:v>https://www.travel.dod.mil/Allowances/Basic-Allowance-for-Housing/BAH-Rate-Lookup/</x:v>
      </x:c>
      <x:c r="T139" s="76" t="str">
        <x:v>https://www.dfas.mil/militarymembers/payentitlements/Pay-Tables/bas/</x:v>
      </x:c>
    </x:row>
    <x:row r="140">
      <x:c r="A140" s="19" t="n">
        <x:v>2023</x:v>
      </x:c>
      <x:c r="B140" s="19" t="str">
        <x:v>Actual</x:v>
      </x:c>
      <x:c r="C140" s="19" t="str">
        <x:v>O-3</x:v>
      </x:c>
      <x:c r="D140" s="19" t="str">
        <x:v>O-3 over 6</x:v>
      </x:c>
      <x:c r="E140" s="69" t="n">
        <x:v>0</x:v>
      </x:c>
      <x:c r="F140" s="79" t="n">
        <x:v>6780.3</x:v>
      </x:c>
      <x:c r="G140" s="80" t="n">
        <x:f>F140*'Assumptions &amp; Sources'!$B$7</x:f>
        <x:v>81363.6</x:v>
      </x:c>
      <x:c r="H140" s="79" t="n">
        <x:v>2103</x:v>
      </x:c>
      <x:c r="I140" s="80" t="n">
        <x:f>H140*'Assumptions &amp; Sources'!$B$7</x:f>
        <x:v>25236</x:v>
      </x:c>
      <x:c r="J140" s="79" t="n">
        <x:v>311.68</x:v>
      </x:c>
      <x:c r="K140" s="80" t="n">
        <x:f>J140*'Assumptions &amp; Sources'!$B$7</x:f>
        <x:v>3740.16</x:v>
      </x:c>
      <x:c r="L140" s="80" t="n">
        <x:f>I140+K140</x:f>
        <x:v>28976.16</x:v>
      </x:c>
      <x:c r="M140" s="80" t="n">
        <x:f>G140+I140+K140</x:f>
        <x:v>110339.76000000001</x:v>
      </x:c>
      <x:c r="N140" s="80" t="n">
        <x:f>L140*'Dashboard'!$K$4/(1-'Dashboard'!$K$4)</x:f>
        <x:v>8172.763076923076</x:v>
      </x:c>
      <x:c r="O140" s="80" t="n">
        <x:f>M140+N140</x:f>
        <x:v>118512.52307692308</x:v>
      </x:c>
      <x:c r="P140" s="30" t="str">
        <x:v>OGDEN/HILL AFB, UT (UT291)</x:v>
      </x:c>
      <x:c r="Q140" s="30" t="str">
        <x:v>Year=2023; ZIP=84056; Pay grade=O-3; Dependents=With dependents</x:v>
      </x:c>
      <x:c r="R140" s="76" t="str">
        <x:v>https://www.dfas.mil/Portals/98/Documents/militarymembers/militarymembers/pay-tables/2023%20AC_RC%20Pay%20Table1.pdf?ver=NUrUfCrNLYPqk6TT20HCXw%3d%3d</x:v>
      </x:c>
      <x:c r="S140" s="76" t="str">
        <x:v>https://www.travel.dod.mil/Allowances/Basic-Allowance-for-Housing/BAH-Rate-Lookup/</x:v>
      </x:c>
      <x:c r="T140" s="76" t="str">
        <x:v>https://www.dfas.mil/militarymembers/payentitlements/Pay-Tables/bas/</x:v>
      </x:c>
    </x:row>
    <x:row r="141">
      <x:c r="A141" s="19" t="n">
        <x:v>2023</x:v>
      </x:c>
      <x:c r="B141" s="19" t="str">
        <x:v>Actual</x:v>
      </x:c>
      <x:c r="C141" s="19" t="str">
        <x:v>O-4</x:v>
      </x:c>
      <x:c r="D141" s="19" t="str">
        <x:v>O-4 over 10</x:v>
      </x:c>
      <x:c r="E141" s="69" t="n">
        <x:v>0</x:v>
      </x:c>
      <x:c r="F141" s="79" t="n">
        <x:v>8254.8</x:v>
      </x:c>
      <x:c r="G141" s="80" t="n">
        <x:f>F141*'Assumptions &amp; Sources'!$B$7</x:f>
        <x:v>99057.59999999999</x:v>
      </x:c>
      <x:c r="H141" s="79" t="n">
        <x:v>2331</x:v>
      </x:c>
      <x:c r="I141" s="80" t="n">
        <x:f>H141*'Assumptions &amp; Sources'!$B$7</x:f>
        <x:v>27972</x:v>
      </x:c>
      <x:c r="J141" s="79" t="n">
        <x:v>311.68</x:v>
      </x:c>
      <x:c r="K141" s="80" t="n">
        <x:f>J141*'Assumptions &amp; Sources'!$B$7</x:f>
        <x:v>3740.16</x:v>
      </x:c>
      <x:c r="L141" s="80" t="n">
        <x:f>I141+K141</x:f>
        <x:v>31712.16</x:v>
      </x:c>
      <x:c r="M141" s="80" t="n">
        <x:f>G141+I141+K141</x:f>
        <x:v>130769.76</x:v>
      </x:c>
      <x:c r="N141" s="80" t="n">
        <x:f>L141*'Dashboard'!$K$4/(1-'Dashboard'!$K$4)</x:f>
        <x:v>8944.455384615383</x:v>
      </x:c>
      <x:c r="O141" s="80" t="n">
        <x:f>M141+N141</x:f>
        <x:v>139714.21538461538</x:v>
      </x:c>
      <x:c r="P141" s="30" t="str">
        <x:v>OGDEN/HILL AFB, UT (UT291)</x:v>
      </x:c>
      <x:c r="Q141" s="30" t="str">
        <x:v>Year=2023; ZIP=84056; Pay grade=O-4; Dependents=With dependents</x:v>
      </x:c>
      <x:c r="R141" s="76" t="str">
        <x:v>https://www.dfas.mil/Portals/98/Documents/militarymembers/militarymembers/pay-tables/2023%20AC_RC%20Pay%20Table1.pdf?ver=NUrUfCrNLYPqk6TT20HCXw%3d%3d</x:v>
      </x:c>
      <x:c r="S141" s="76" t="str">
        <x:v>https://www.travel.dod.mil/Allowances/Basic-Allowance-for-Housing/BAH-Rate-Lookup/</x:v>
      </x:c>
      <x:c r="T141" s="76" t="str">
        <x:v>https://www.dfas.mil/militarymembers/payentitlements/Pay-Tables/bas/</x:v>
      </x:c>
    </x:row>
    <x:row r="142">
      <x:c r="A142" s="19" t="n">
        <x:v>2023</x:v>
      </x:c>
      <x:c r="B142" s="19" t="str">
        <x:v>Actual</x:v>
      </x:c>
      <x:c r="C142" s="19" t="str">
        <x:v>O-5</x:v>
      </x:c>
      <x:c r="D142" s="19" t="str">
        <x:v>O-5 over 16</x:v>
      </x:c>
      <x:c r="E142" s="69" t="n">
        <x:v>0</x:v>
      </x:c>
      <x:c r="F142" s="79" t="n">
        <x:v>9982.8</x:v>
      </x:c>
      <x:c r="G142" s="80" t="n">
        <x:f>F142*'Assumptions &amp; Sources'!$B$7</x:f>
        <x:v>119793.59999999999</x:v>
      </x:c>
      <x:c r="H142" s="79" t="n">
        <x:v>2493</x:v>
      </x:c>
      <x:c r="I142" s="80" t="n">
        <x:f>H142*'Assumptions &amp; Sources'!$B$7</x:f>
        <x:v>29916</x:v>
      </x:c>
      <x:c r="J142" s="79" t="n">
        <x:v>311.68</x:v>
      </x:c>
      <x:c r="K142" s="80" t="n">
        <x:f>J142*'Assumptions &amp; Sources'!$B$7</x:f>
        <x:v>3740.16</x:v>
      </x:c>
      <x:c r="L142" s="80" t="n">
        <x:f>I142+K142</x:f>
        <x:v>33656.16</x:v>
      </x:c>
      <x:c r="M142" s="80" t="n">
        <x:f>G142+I142+K142</x:f>
        <x:v>153449.75999999998</x:v>
      </x:c>
      <x:c r="N142" s="80" t="n">
        <x:f>L142*'Dashboard'!$K$4/(1-'Dashboard'!$K$4)</x:f>
        <x:v>9492.763076923078</x:v>
      </x:c>
      <x:c r="O142" s="80" t="n">
        <x:f>M142+N142</x:f>
        <x:v>162942.52307692307</x:v>
      </x:c>
      <x:c r="P142" s="30" t="str">
        <x:v>OGDEN/HILL AFB, UT (UT291)</x:v>
      </x:c>
      <x:c r="Q142" s="30" t="str">
        <x:v>Year=2023; ZIP=84056; Pay grade=O-5; Dependents=With dependents</x:v>
      </x:c>
      <x:c r="R142" s="76" t="str">
        <x:v>https://www.dfas.mil/Portals/98/Documents/militarymembers/militarymembers/pay-tables/2023%20AC_RC%20Pay%20Table1.pdf?ver=NUrUfCrNLYPqk6TT20HCXw%3d%3d</x:v>
      </x:c>
      <x:c r="S142" s="76" t="str">
        <x:v>https://www.travel.dod.mil/Allowances/Basic-Allowance-for-Housing/BAH-Rate-Lookup/</x:v>
      </x:c>
      <x:c r="T142" s="76" t="str">
        <x:v>https://www.dfas.mil/militarymembers/payentitlements/Pay-Tables/bas/</x:v>
      </x:c>
    </x:row>
    <x:row r="143">
      <x:c r="A143" s="19" t="n">
        <x:v>2023</x:v>
      </x:c>
      <x:c r="B143" s="19" t="str">
        <x:v>Actual</x:v>
      </x:c>
      <x:c r="C143" s="19" t="str">
        <x:v>O-6</x:v>
      </x:c>
      <x:c r="D143" s="19" t="str">
        <x:v>O-6 over 22</x:v>
      </x:c>
      <x:c r="E143" s="69" t="n">
        <x:v>0</x:v>
      </x:c>
      <x:c r="F143" s="79" t="n">
        <x:v>12367.5</x:v>
      </x:c>
      <x:c r="G143" s="80" t="n">
        <x:f>F143*'Assumptions &amp; Sources'!$B$7</x:f>
        <x:v>148410</x:v>
      </x:c>
      <x:c r="H143" s="79" t="n">
        <x:v>2514</x:v>
      </x:c>
      <x:c r="I143" s="80" t="n">
        <x:f>H143*'Assumptions &amp; Sources'!$B$7</x:f>
        <x:v>30168</x:v>
      </x:c>
      <x:c r="J143" s="79" t="n">
        <x:v>311.68</x:v>
      </x:c>
      <x:c r="K143" s="80" t="n">
        <x:f>J143*'Assumptions &amp; Sources'!$B$7</x:f>
        <x:v>3740.16</x:v>
      </x:c>
      <x:c r="L143" s="80" t="n">
        <x:f>I143+K143</x:f>
        <x:v>33908.16</x:v>
      </x:c>
      <x:c r="M143" s="80" t="n">
        <x:f>G143+I143+K143</x:f>
        <x:v>182318.16</x:v>
      </x:c>
      <x:c r="N143" s="80" t="n">
        <x:f>L143*'Dashboard'!$K$4/(1-'Dashboard'!$K$4)</x:f>
        <x:v>9563.84</x:v>
      </x:c>
      <x:c r="O143" s="80" t="n">
        <x:f>M143+N143</x:f>
        <x:v>191882</x:v>
      </x:c>
      <x:c r="P143" s="30" t="str">
        <x:v>OGDEN/HILL AFB, UT (UT291)</x:v>
      </x:c>
      <x:c r="Q143" s="30" t="str">
        <x:v>Year=2023; ZIP=84056; Pay grade=O-6; Dependents=With dependents</x:v>
      </x:c>
      <x:c r="R143" s="76" t="str">
        <x:v>https://www.dfas.mil/Portals/98/Documents/militarymembers/militarymembers/pay-tables/2023%20AC_RC%20Pay%20Table1.pdf?ver=NUrUfCrNLYPqk6TT20HCXw%3d%3d</x:v>
      </x:c>
      <x:c r="S143" s="76" t="str">
        <x:v>https://www.travel.dod.mil/Allowances/Basic-Allowance-for-Housing/BAH-Rate-Lookup/</x:v>
      </x:c>
      <x:c r="T143" s="76" t="str">
        <x:v>https://www.dfas.mil/militarymembers/payentitlements/Pay-Tables/bas/</x:v>
      </x:c>
    </x:row>
    <x:row r="144">
      <x:c r="A144" s="19" t="n">
        <x:v>2024</x:v>
      </x:c>
      <x:c r="B144" s="19" t="str">
        <x:v>Actual</x:v>
      </x:c>
      <x:c r="C144" s="19" t="str">
        <x:v>O-1</x:v>
      </x:c>
      <x:c r="D144" s="19" t="str">
        <x:v>O-1 under 2</x:v>
      </x:c>
      <x:c r="E144" s="69" t="n">
        <x:v>0</x:v>
      </x:c>
      <x:c r="F144" s="79" t="n">
        <x:v>3826.2</x:v>
      </x:c>
      <x:c r="G144" s="80" t="n">
        <x:f>F144*'Assumptions &amp; Sources'!$B$7</x:f>
        <x:v>45914.399999999994</x:v>
      </x:c>
      <x:c r="H144" s="79" t="n">
        <x:v>2040</x:v>
      </x:c>
      <x:c r="I144" s="80" t="n">
        <x:f>H144*'Assumptions &amp; Sources'!$B$7</x:f>
        <x:v>24480</x:v>
      </x:c>
      <x:c r="J144" s="79" t="n">
        <x:v>316.98</x:v>
      </x:c>
      <x:c r="K144" s="80" t="n">
        <x:f>J144*'Assumptions &amp; Sources'!$B$7</x:f>
        <x:v>3803.76</x:v>
      </x:c>
      <x:c r="L144" s="80" t="n">
        <x:f>I144+K144</x:f>
        <x:v>28283.760000000002</x:v>
      </x:c>
      <x:c r="M144" s="80" t="n">
        <x:f>G144+I144+K144</x:f>
        <x:v>74198.15999999999</x:v>
      </x:c>
      <x:c r="N144" s="80" t="n">
        <x:f>L144*'Dashboard'!$K$4/(1-'Dashboard'!$K$4)</x:f>
        <x:v>7977.470769230769</x:v>
      </x:c>
      <x:c r="O144" s="80" t="n">
        <x:f>M144+N144</x:f>
        <x:v>82175.63076923076</x:v>
      </x:c>
      <x:c r="P144" s="30" t="str">
        <x:v>OGDEN/HILL AFB, UT (UT291)</x:v>
      </x:c>
      <x:c r="Q144" s="30" t="str">
        <x:v>Year=2024; ZIP=84056; Pay grade=O-1; Dependents=With dependents</x:v>
      </x:c>
      <x:c r="R144" s="76" t="str">
        <x:v>https://web.archive.org/web/20240123103714id_/https://www.dfas.mil/militarymembers/payentitlements/Pay-Tables/Basic-Pay/CO/</x:v>
      </x:c>
      <x:c r="S144" s="76" t="str">
        <x:v>https://www.travel.dod.mil/Allowances/Basic-Allowance-for-Housing/BAH-Rate-Lookup/</x:v>
      </x:c>
      <x:c r="T144" s="76" t="str">
        <x:v>https://www.dfas.mil/militarymembers/payentitlements/Pay-Tables/bas/</x:v>
      </x:c>
    </x:row>
    <x:row r="145">
      <x:c r="A145" s="19" t="n">
        <x:v>2024</x:v>
      </x:c>
      <x:c r="B145" s="19" t="str">
        <x:v>Actual</x:v>
      </x:c>
      <x:c r="C145" s="19" t="str">
        <x:v>O-2</x:v>
      </x:c>
      <x:c r="D145" s="19" t="str">
        <x:v>O-2 over 2</x:v>
      </x:c>
      <x:c r="E145" s="69" t="n">
        <x:v>0</x:v>
      </x:c>
      <x:c r="F145" s="79" t="n">
        <x:v>5020.8</x:v>
      </x:c>
      <x:c r="G145" s="80" t="n">
        <x:f>F145*'Assumptions &amp; Sources'!$B$7</x:f>
        <x:v>60249.600000000006</x:v>
      </x:c>
      <x:c r="H145" s="79" t="n">
        <x:v>2154</x:v>
      </x:c>
      <x:c r="I145" s="80" t="n">
        <x:f>H145*'Assumptions &amp; Sources'!$B$7</x:f>
        <x:v>25848</x:v>
      </x:c>
      <x:c r="J145" s="79" t="n">
        <x:v>316.98</x:v>
      </x:c>
      <x:c r="K145" s="80" t="n">
        <x:f>J145*'Assumptions &amp; Sources'!$B$7</x:f>
        <x:v>3803.76</x:v>
      </x:c>
      <x:c r="L145" s="80" t="n">
        <x:f>I145+K145</x:f>
        <x:v>29651.760000000002</x:v>
      </x:c>
      <x:c r="M145" s="80" t="n">
        <x:f>G145+I145+K145</x:f>
        <x:v>89901.36</x:v>
      </x:c>
      <x:c r="N145" s="80" t="n">
        <x:f>L145*'Dashboard'!$K$4/(1-'Dashboard'!$K$4)</x:f>
        <x:v>8363.316923076924</x:v>
      </x:c>
      <x:c r="O145" s="80" t="n">
        <x:f>M145+N145</x:f>
        <x:v>98264.67692307693</x:v>
      </x:c>
      <x:c r="P145" s="30" t="str">
        <x:v>OGDEN/HILL AFB, UT (UT291)</x:v>
      </x:c>
      <x:c r="Q145" s="30" t="str">
        <x:v>Year=2024; ZIP=84056; Pay grade=O-2; Dependents=With dependents</x:v>
      </x:c>
      <x:c r="R145" s="76" t="str">
        <x:v>https://web.archive.org/web/20240123103714id_/https://www.dfas.mil/militarymembers/payentitlements/Pay-Tables/Basic-Pay/CO/</x:v>
      </x:c>
      <x:c r="S145" s="76" t="str">
        <x:v>https://www.travel.dod.mil/Allowances/Basic-Allowance-for-Housing/BAH-Rate-Lookup/</x:v>
      </x:c>
      <x:c r="T145" s="76" t="str">
        <x:v>https://www.dfas.mil/militarymembers/payentitlements/Pay-Tables/bas/</x:v>
      </x:c>
    </x:row>
    <x:row r="146">
      <x:c r="A146" s="19" t="n">
        <x:v>2024</x:v>
      </x:c>
      <x:c r="B146" s="19" t="str">
        <x:v>Actual</x:v>
      </x:c>
      <x:c r="C146" s="19" t="str">
        <x:v>O-3</x:v>
      </x:c>
      <x:c r="D146" s="19" t="str">
        <x:v>O-3 over 6</x:v>
      </x:c>
      <x:c r="E146" s="69" t="n">
        <x:v>0</x:v>
      </x:c>
      <x:c r="F146" s="79" t="n">
        <x:v>7132.8</x:v>
      </x:c>
      <x:c r="G146" s="80" t="n">
        <x:f>F146*'Assumptions &amp; Sources'!$B$7</x:f>
        <x:v>85593.6</x:v>
      </x:c>
      <x:c r="H146" s="79" t="n">
        <x:v>2259</x:v>
      </x:c>
      <x:c r="I146" s="80" t="n">
        <x:f>H146*'Assumptions &amp; Sources'!$B$7</x:f>
        <x:v>27108</x:v>
      </x:c>
      <x:c r="J146" s="79" t="n">
        <x:v>316.98</x:v>
      </x:c>
      <x:c r="K146" s="80" t="n">
        <x:f>J146*'Assumptions &amp; Sources'!$B$7</x:f>
        <x:v>3803.76</x:v>
      </x:c>
      <x:c r="L146" s="80" t="n">
        <x:f>I146+K146</x:f>
        <x:v>30911.760000000002</x:v>
      </x:c>
      <x:c r="M146" s="80" t="n">
        <x:f>G146+I146+K146</x:f>
        <x:v>116505.36</x:v>
      </x:c>
      <x:c r="N146" s="80" t="n">
        <x:f>L146*'Dashboard'!$K$4/(1-'Dashboard'!$K$4)</x:f>
        <x:v>8718.701538461539</x:v>
      </x:c>
      <x:c r="O146" s="80" t="n">
        <x:f>M146+N146</x:f>
        <x:v>125224.06153846154</x:v>
      </x:c>
      <x:c r="P146" s="30" t="str">
        <x:v>OGDEN/HILL AFB, UT (UT291)</x:v>
      </x:c>
      <x:c r="Q146" s="30" t="str">
        <x:v>Year=2024; ZIP=84056; Pay grade=O-3; Dependents=With dependents</x:v>
      </x:c>
      <x:c r="R146" s="76" t="str">
        <x:v>https://web.archive.org/web/20240123103714id_/https://www.dfas.mil/militarymembers/payentitlements/Pay-Tables/Basic-Pay/CO/</x:v>
      </x:c>
      <x:c r="S146" s="76" t="str">
        <x:v>https://www.travel.dod.mil/Allowances/Basic-Allowance-for-Housing/BAH-Rate-Lookup/</x:v>
      </x:c>
      <x:c r="T146" s="76" t="str">
        <x:v>https://www.dfas.mil/militarymembers/payentitlements/Pay-Tables/bas/</x:v>
      </x:c>
    </x:row>
    <x:row r="147">
      <x:c r="A147" s="19" t="n">
        <x:v>2024</x:v>
      </x:c>
      <x:c r="B147" s="19" t="str">
        <x:v>Actual</x:v>
      </x:c>
      <x:c r="C147" s="19" t="str">
        <x:v>O-4</x:v>
      </x:c>
      <x:c r="D147" s="19" t="str">
        <x:v>O-4 over 10</x:v>
      </x:c>
      <x:c r="E147" s="69" t="n">
        <x:v>0</x:v>
      </x:c>
      <x:c r="F147" s="79" t="n">
        <x:v>8684.1</x:v>
      </x:c>
      <x:c r="G147" s="80" t="n">
        <x:f>F147*'Assumptions &amp; Sources'!$B$7</x:f>
        <x:v>104209.20000000001</x:v>
      </x:c>
      <x:c r="H147" s="79" t="n">
        <x:v>2436</x:v>
      </x:c>
      <x:c r="I147" s="80" t="n">
        <x:f>H147*'Assumptions &amp; Sources'!$B$7</x:f>
        <x:v>29232</x:v>
      </x:c>
      <x:c r="J147" s="79" t="n">
        <x:v>316.98</x:v>
      </x:c>
      <x:c r="K147" s="80" t="n">
        <x:f>J147*'Assumptions &amp; Sources'!$B$7</x:f>
        <x:v>3803.76</x:v>
      </x:c>
      <x:c r="L147" s="80" t="n">
        <x:f>I147+K147</x:f>
        <x:v>33035.76</x:v>
      </x:c>
      <x:c r="M147" s="80" t="n">
        <x:f>G147+I147+K147</x:f>
        <x:v>137244.96000000002</x:v>
      </x:c>
      <x:c r="N147" s="80" t="n">
        <x:f>L147*'Dashboard'!$K$4/(1-'Dashboard'!$K$4)</x:f>
        <x:v>9317.778461538463</x:v>
      </x:c>
      <x:c r="O147" s="80" t="n">
        <x:f>M147+N147</x:f>
        <x:v>146562.73846153848</x:v>
      </x:c>
      <x:c r="P147" s="30" t="str">
        <x:v>OGDEN/HILL AFB, UT (UT291)</x:v>
      </x:c>
      <x:c r="Q147" s="30" t="str">
        <x:v>Year=2024; ZIP=84056; Pay grade=O-4; Dependents=With dependents</x:v>
      </x:c>
      <x:c r="R147" s="76" t="str">
        <x:v>https://web.archive.org/web/20240123103714id_/https://www.dfas.mil/militarymembers/payentitlements/Pay-Tables/Basic-Pay/CO/</x:v>
      </x:c>
      <x:c r="S147" s="76" t="str">
        <x:v>https://www.travel.dod.mil/Allowances/Basic-Allowance-for-Housing/BAH-Rate-Lookup/</x:v>
      </x:c>
      <x:c r="T147" s="76" t="str">
        <x:v>https://www.dfas.mil/militarymembers/payentitlements/Pay-Tables/bas/</x:v>
      </x:c>
    </x:row>
    <x:row r="148">
      <x:c r="A148" s="19" t="n">
        <x:v>2024</x:v>
      </x:c>
      <x:c r="B148" s="19" t="str">
        <x:v>Actual</x:v>
      </x:c>
      <x:c r="C148" s="19" t="str">
        <x:v>O-5</x:v>
      </x:c>
      <x:c r="D148" s="19" t="str">
        <x:v>O-5 over 16</x:v>
      </x:c>
      <x:c r="E148" s="69" t="n">
        <x:v>0</x:v>
      </x:c>
      <x:c r="F148" s="79" t="n">
        <x:v>10501.8</x:v>
      </x:c>
      <x:c r="G148" s="80" t="n">
        <x:f>F148*'Assumptions &amp; Sources'!$B$7</x:f>
        <x:v>126021.59999999999</x:v>
      </x:c>
      <x:c r="H148" s="79" t="n">
        <x:v>2565</x:v>
      </x:c>
      <x:c r="I148" s="80" t="n">
        <x:f>H148*'Assumptions &amp; Sources'!$B$7</x:f>
        <x:v>30780</x:v>
      </x:c>
      <x:c r="J148" s="79" t="n">
        <x:v>316.98</x:v>
      </x:c>
      <x:c r="K148" s="80" t="n">
        <x:f>J148*'Assumptions &amp; Sources'!$B$7</x:f>
        <x:v>3803.76</x:v>
      </x:c>
      <x:c r="L148" s="80" t="n">
        <x:f>I148+K148</x:f>
        <x:v>34583.76</x:v>
      </x:c>
      <x:c r="M148" s="80" t="n">
        <x:f>G148+I148+K148</x:f>
        <x:v>160605.36</x:v>
      </x:c>
      <x:c r="N148" s="80" t="n">
        <x:f>L148*'Dashboard'!$K$4/(1-'Dashboard'!$K$4)</x:f>
        <x:v>9754.393846153846</x:v>
      </x:c>
      <x:c r="O148" s="80" t="n">
        <x:f>M148+N148</x:f>
        <x:v>170359.75384615382</x:v>
      </x:c>
      <x:c r="P148" s="30" t="str">
        <x:v>OGDEN/HILL AFB, UT (UT291)</x:v>
      </x:c>
      <x:c r="Q148" s="30" t="str">
        <x:v>Year=2024; ZIP=84056; Pay grade=O-5; Dependents=With dependents</x:v>
      </x:c>
      <x:c r="R148" s="76" t="str">
        <x:v>https://web.archive.org/web/20240123103714id_/https://www.dfas.mil/militarymembers/payentitlements/Pay-Tables/Basic-Pay/CO/</x:v>
      </x:c>
      <x:c r="S148" s="76" t="str">
        <x:v>https://www.travel.dod.mil/Allowances/Basic-Allowance-for-Housing/BAH-Rate-Lookup/</x:v>
      </x:c>
      <x:c r="T148" s="76" t="str">
        <x:v>https://www.dfas.mil/militarymembers/payentitlements/Pay-Tables/bas/</x:v>
      </x:c>
    </x:row>
    <x:row r="149">
      <x:c r="A149" s="19" t="n">
        <x:v>2024</x:v>
      </x:c>
      <x:c r="B149" s="19" t="str">
        <x:v>Actual</x:v>
      </x:c>
      <x:c r="C149" s="19" t="str">
        <x:v>O-6</x:v>
      </x:c>
      <x:c r="D149" s="19" t="str">
        <x:v>O-6 over 22</x:v>
      </x:c>
      <x:c r="E149" s="69" t="n">
        <x:v>0</x:v>
      </x:c>
      <x:c r="F149" s="79" t="n">
        <x:v>13010.7</x:v>
      </x:c>
      <x:c r="G149" s="80" t="n">
        <x:f>F149*'Assumptions &amp; Sources'!$B$7</x:f>
        <x:v>156128.40000000002</x:v>
      </x:c>
      <x:c r="H149" s="79" t="n">
        <x:v>2583</x:v>
      </x:c>
      <x:c r="I149" s="80" t="n">
        <x:f>H149*'Assumptions &amp; Sources'!$B$7</x:f>
        <x:v>30996</x:v>
      </x:c>
      <x:c r="J149" s="79" t="n">
        <x:v>316.98</x:v>
      </x:c>
      <x:c r="K149" s="80" t="n">
        <x:f>J149*'Assumptions &amp; Sources'!$B$7</x:f>
        <x:v>3803.76</x:v>
      </x:c>
      <x:c r="L149" s="80" t="n">
        <x:f>I149+K149</x:f>
        <x:v>34799.76</x:v>
      </x:c>
      <x:c r="M149" s="80" t="n">
        <x:f>G149+I149+K149</x:f>
        <x:v>190928.16000000003</x:v>
      </x:c>
      <x:c r="N149" s="80" t="n">
        <x:f>L149*'Dashboard'!$K$4/(1-'Dashboard'!$K$4)</x:f>
        <x:v>9815.316923076924</x:v>
      </x:c>
      <x:c r="O149" s="80" t="n">
        <x:f>M149+N149</x:f>
        <x:v>200743.47692307696</x:v>
      </x:c>
      <x:c r="P149" s="30" t="str">
        <x:v>OGDEN/HILL AFB, UT (UT291)</x:v>
      </x:c>
      <x:c r="Q149" s="30" t="str">
        <x:v>Year=2024; ZIP=84056; Pay grade=O-6; Dependents=With dependents</x:v>
      </x:c>
      <x:c r="R149" s="76" t="str">
        <x:v>https://web.archive.org/web/20240123103714id_/https://www.dfas.mil/militarymembers/payentitlements/Pay-Tables/Basic-Pay/CO/</x:v>
      </x:c>
      <x:c r="S149" s="76" t="str">
        <x:v>https://www.travel.dod.mil/Allowances/Basic-Allowance-for-Housing/BAH-Rate-Lookup/</x:v>
      </x:c>
      <x:c r="T149" s="76" t="str">
        <x:v>https://www.dfas.mil/militarymembers/payentitlements/Pay-Tables/bas/</x:v>
      </x:c>
    </x:row>
    <x:row r="150">
      <x:c r="A150" s="19" t="n">
        <x:v>2025</x:v>
      </x:c>
      <x:c r="B150" s="19" t="str">
        <x:v>Actual</x:v>
      </x:c>
      <x:c r="C150" s="19" t="str">
        <x:v>O-1</x:v>
      </x:c>
      <x:c r="D150" s="19" t="str">
        <x:v>O-1 under 2</x:v>
      </x:c>
      <x:c r="E150" s="69" t="n">
        <x:v>0</x:v>
      </x:c>
      <x:c r="F150" s="79" t="n">
        <x:v>3998.4</x:v>
      </x:c>
      <x:c r="G150" s="80" t="n">
        <x:f>F150*'Assumptions &amp; Sources'!$B$7</x:f>
        <x:v>47980.8</x:v>
      </x:c>
      <x:c r="H150" s="79" t="n">
        <x:v>2121</x:v>
      </x:c>
      <x:c r="I150" s="80" t="n">
        <x:f>H150*'Assumptions &amp; Sources'!$B$7</x:f>
        <x:v>25452</x:v>
      </x:c>
      <x:c r="J150" s="79" t="n">
        <x:v>320.78</x:v>
      </x:c>
      <x:c r="K150" s="80" t="n">
        <x:f>J150*'Assumptions &amp; Sources'!$B$7</x:f>
        <x:v>3849.3599999999997</x:v>
      </x:c>
      <x:c r="L150" s="80" t="n">
        <x:f>I150+K150</x:f>
        <x:v>29301.36</x:v>
      </x:c>
      <x:c r="M150" s="80" t="n">
        <x:f>G150+I150+K150</x:f>
        <x:v>77282.16</x:v>
      </x:c>
      <x:c r="N150" s="80" t="n">
        <x:f>L150*'Dashboard'!$K$4/(1-'Dashboard'!$K$4)</x:f>
        <x:v>8264.486153846154</x:v>
      </x:c>
      <x:c r="O150" s="80" t="n">
        <x:f>M150+N150</x:f>
        <x:v>85546.64615384616</x:v>
      </x:c>
      <x:c r="P150" s="30" t="str">
        <x:v>OGDEN/HILL AFB, UT (UT291)</x:v>
      </x:c>
      <x:c r="Q150" s="30" t="str">
        <x:v>Year=2025; ZIP=84056; Pay grade=O-1; Dependents=With dependents</x:v>
      </x:c>
      <x:c r="R150" s="76" t="str">
        <x:v>https://web.archive.org/web/20250201155314id_/https://www.dfas.mil/MilitaryMembers/payentitlements/Pay-Tables/Basic-Pay/CO/</x:v>
      </x:c>
      <x:c r="S150" s="76" t="str">
        <x:v>https://www.travel.dod.mil/Allowances/Basic-Allowance-for-Housing/BAH-Rate-Lookup/</x:v>
      </x:c>
      <x:c r="T150" s="76" t="str">
        <x:v>https://www.dfas.mil/militarymembers/payentitlements/Pay-Tables/bas/</x:v>
      </x:c>
    </x:row>
    <x:row r="151">
      <x:c r="A151" s="19" t="n">
        <x:v>2025</x:v>
      </x:c>
      <x:c r="B151" s="19" t="str">
        <x:v>Actual</x:v>
      </x:c>
      <x:c r="C151" s="19" t="str">
        <x:v>O-2</x:v>
      </x:c>
      <x:c r="D151" s="19" t="str">
        <x:v>O-2 over 2</x:v>
      </x:c>
      <x:c r="E151" s="69" t="n">
        <x:v>0</x:v>
      </x:c>
      <x:c r="F151" s="79" t="n">
        <x:v>5246.7</x:v>
      </x:c>
      <x:c r="G151" s="80" t="n">
        <x:f>F151*'Assumptions &amp; Sources'!$B$7</x:f>
        <x:v>62960.399999999994</x:v>
      </x:c>
      <x:c r="H151" s="79" t="n">
        <x:v>2184</x:v>
      </x:c>
      <x:c r="I151" s="80" t="n">
        <x:f>H151*'Assumptions &amp; Sources'!$B$7</x:f>
        <x:v>26208</x:v>
      </x:c>
      <x:c r="J151" s="79" t="n">
        <x:v>320.78</x:v>
      </x:c>
      <x:c r="K151" s="80" t="n">
        <x:f>J151*'Assumptions &amp; Sources'!$B$7</x:f>
        <x:v>3849.3599999999997</x:v>
      </x:c>
      <x:c r="L151" s="80" t="n">
        <x:f>I151+K151</x:f>
        <x:v>30057.36</x:v>
      </x:c>
      <x:c r="M151" s="80" t="n">
        <x:f>G151+I151+K151</x:f>
        <x:v>93017.76</x:v>
      </x:c>
      <x:c r="N151" s="80" t="n">
        <x:f>L151*'Dashboard'!$K$4/(1-'Dashboard'!$K$4)</x:f>
        <x:v>8477.716923076923</x:v>
      </x:c>
      <x:c r="O151" s="80" t="n">
        <x:f>M151+N151</x:f>
        <x:v>101495.47692307692</x:v>
      </x:c>
      <x:c r="P151" s="30" t="str">
        <x:v>OGDEN/HILL AFB, UT (UT291)</x:v>
      </x:c>
      <x:c r="Q151" s="30" t="str">
        <x:v>Year=2025; ZIP=84056; Pay grade=O-2; Dependents=With dependents</x:v>
      </x:c>
      <x:c r="R151" s="76" t="str">
        <x:v>https://web.archive.org/web/20250201155314id_/https://www.dfas.mil/MilitaryMembers/payentitlements/Pay-Tables/Basic-Pay/CO/</x:v>
      </x:c>
      <x:c r="S151" s="76" t="str">
        <x:v>https://www.travel.dod.mil/Allowances/Basic-Allowance-for-Housing/BAH-Rate-Lookup/</x:v>
      </x:c>
      <x:c r="T151" s="76" t="str">
        <x:v>https://www.dfas.mil/militarymembers/payentitlements/Pay-Tables/bas/</x:v>
      </x:c>
    </x:row>
    <x:row r="152">
      <x:c r="A152" s="19" t="n">
        <x:v>2025</x:v>
      </x:c>
      <x:c r="B152" s="19" t="str">
        <x:v>Actual</x:v>
      </x:c>
      <x:c r="C152" s="19" t="str">
        <x:v>O-3</x:v>
      </x:c>
      <x:c r="D152" s="19" t="str">
        <x:v>O-3 over 6</x:v>
      </x:c>
      <x:c r="E152" s="69" t="n">
        <x:v>0</x:v>
      </x:c>
      <x:c r="F152" s="79" t="n">
        <x:v>7453.8</x:v>
      </x:c>
      <x:c r="G152" s="80" t="n">
        <x:f>F152*'Assumptions &amp; Sources'!$B$7</x:f>
        <x:v>89445.6</x:v>
      </x:c>
      <x:c r="H152" s="79" t="n">
        <x:v>2340</x:v>
      </x:c>
      <x:c r="I152" s="80" t="n">
        <x:f>H152*'Assumptions &amp; Sources'!$B$7</x:f>
        <x:v>28080</x:v>
      </x:c>
      <x:c r="J152" s="79" t="n">
        <x:v>320.78</x:v>
      </x:c>
      <x:c r="K152" s="80" t="n">
        <x:f>J152*'Assumptions &amp; Sources'!$B$7</x:f>
        <x:v>3849.3599999999997</x:v>
      </x:c>
      <x:c r="L152" s="80" t="n">
        <x:f>I152+K152</x:f>
        <x:v>31929.36</x:v>
      </x:c>
      <x:c r="M152" s="80" t="n">
        <x:f>G152+I152+K152</x:f>
        <x:v>121374.96</x:v>
      </x:c>
      <x:c r="N152" s="80" t="n">
        <x:f>L152*'Dashboard'!$K$4/(1-'Dashboard'!$K$4)</x:f>
        <x:v>9005.716923076923</x:v>
      </x:c>
      <x:c r="O152" s="80" t="n">
        <x:f>M152+N152</x:f>
        <x:v>130380.67692307693</x:v>
      </x:c>
      <x:c r="P152" s="30" t="str">
        <x:v>OGDEN/HILL AFB, UT (UT291)</x:v>
      </x:c>
      <x:c r="Q152" s="30" t="str">
        <x:v>Year=2025; ZIP=84056; Pay grade=O-3; Dependents=With dependents</x:v>
      </x:c>
      <x:c r="R152" s="76" t="str">
        <x:v>https://web.archive.org/web/20250201155314id_/https://www.dfas.mil/MilitaryMembers/payentitlements/Pay-Tables/Basic-Pay/CO/</x:v>
      </x:c>
      <x:c r="S152" s="76" t="str">
        <x:v>https://www.travel.dod.mil/Allowances/Basic-Allowance-for-Housing/BAH-Rate-Lookup/</x:v>
      </x:c>
      <x:c r="T152" s="76" t="str">
        <x:v>https://www.dfas.mil/militarymembers/payentitlements/Pay-Tables/bas/</x:v>
      </x:c>
    </x:row>
    <x:row r="153">
      <x:c r="A153" s="19" t="n">
        <x:v>2025</x:v>
      </x:c>
      <x:c r="B153" s="19" t="str">
        <x:v>Actual</x:v>
      </x:c>
      <x:c r="C153" s="19" t="str">
        <x:v>O-4</x:v>
      </x:c>
      <x:c r="D153" s="19" t="str">
        <x:v>O-4 over 10</x:v>
      </x:c>
      <x:c r="E153" s="69" t="n">
        <x:v>0</x:v>
      </x:c>
      <x:c r="F153" s="79" t="n">
        <x:v>9075</x:v>
      </x:c>
      <x:c r="G153" s="80" t="n">
        <x:f>F153*'Assumptions &amp; Sources'!$B$7</x:f>
        <x:v>108900</x:v>
      </x:c>
      <x:c r="H153" s="79" t="n">
        <x:v>2541</x:v>
      </x:c>
      <x:c r="I153" s="80" t="n">
        <x:f>H153*'Assumptions &amp; Sources'!$B$7</x:f>
        <x:v>30492</x:v>
      </x:c>
      <x:c r="J153" s="79" t="n">
        <x:v>320.78</x:v>
      </x:c>
      <x:c r="K153" s="80" t="n">
        <x:f>J153*'Assumptions &amp; Sources'!$B$7</x:f>
        <x:v>3849.3599999999997</x:v>
      </x:c>
      <x:c r="L153" s="80" t="n">
        <x:f>I153+K153</x:f>
        <x:v>34341.36</x:v>
      </x:c>
      <x:c r="M153" s="80" t="n">
        <x:f>G153+I153+K153</x:f>
        <x:v>143241.36</x:v>
      </x:c>
      <x:c r="N153" s="80" t="n">
        <x:f>L153*'Dashboard'!$K$4/(1-'Dashboard'!$K$4)</x:f>
        <x:v>9686.024615384616</x:v>
      </x:c>
      <x:c r="O153" s="80" t="n">
        <x:f>M153+N153</x:f>
        <x:v>152927.3846153846</x:v>
      </x:c>
      <x:c r="P153" s="30" t="str">
        <x:v>OGDEN/HILL AFB, UT (UT291)</x:v>
      </x:c>
      <x:c r="Q153" s="30" t="str">
        <x:v>Year=2025; ZIP=84056; Pay grade=O-4; Dependents=With dependents</x:v>
      </x:c>
      <x:c r="R153" s="76" t="str">
        <x:v>https://web.archive.org/web/20250201155314id_/https://www.dfas.mil/MilitaryMembers/payentitlements/Pay-Tables/Basic-Pay/CO/</x:v>
      </x:c>
      <x:c r="S153" s="76" t="str">
        <x:v>https://www.travel.dod.mil/Allowances/Basic-Allowance-for-Housing/BAH-Rate-Lookup/</x:v>
      </x:c>
      <x:c r="T153" s="76" t="str">
        <x:v>https://www.dfas.mil/militarymembers/payentitlements/Pay-Tables/bas/</x:v>
      </x:c>
    </x:row>
    <x:row r="154">
      <x:c r="A154" s="19" t="n">
        <x:v>2025</x:v>
      </x:c>
      <x:c r="B154" s="19" t="str">
        <x:v>Actual</x:v>
      </x:c>
      <x:c r="C154" s="19" t="str">
        <x:v>O-5</x:v>
      </x:c>
      <x:c r="D154" s="19" t="str">
        <x:v>O-5 over 16</x:v>
      </x:c>
      <x:c r="E154" s="69" t="n">
        <x:v>0</x:v>
      </x:c>
      <x:c r="F154" s="79" t="n">
        <x:v>10974.3</x:v>
      </x:c>
      <x:c r="G154" s="80" t="n">
        <x:f>F154*'Assumptions &amp; Sources'!$B$7</x:f>
        <x:v>131691.59999999998</x:v>
      </x:c>
      <x:c r="H154" s="79" t="n">
        <x:v>2682</x:v>
      </x:c>
      <x:c r="I154" s="80" t="n">
        <x:f>H154*'Assumptions &amp; Sources'!$B$7</x:f>
        <x:v>32184</x:v>
      </x:c>
      <x:c r="J154" s="79" t="n">
        <x:v>320.78</x:v>
      </x:c>
      <x:c r="K154" s="80" t="n">
        <x:f>J154*'Assumptions &amp; Sources'!$B$7</x:f>
        <x:v>3849.3599999999997</x:v>
      </x:c>
      <x:c r="L154" s="80" t="n">
        <x:f>I154+K154</x:f>
        <x:v>36033.36</x:v>
      </x:c>
      <x:c r="M154" s="80" t="n">
        <x:f>G154+I154+K154</x:f>
        <x:v>167724.95999999996</x:v>
      </x:c>
      <x:c r="N154" s="80" t="n">
        <x:f>L154*'Dashboard'!$K$4/(1-'Dashboard'!$K$4)</x:f>
        <x:v>10163.255384615384</x:v>
      </x:c>
      <x:c r="O154" s="80" t="n">
        <x:f>M154+N154</x:f>
        <x:v>177888.21538461535</x:v>
      </x:c>
      <x:c r="P154" s="30" t="str">
        <x:v>OGDEN/HILL AFB, UT (UT291)</x:v>
      </x:c>
      <x:c r="Q154" s="30" t="str">
        <x:v>Year=2025; ZIP=84056; Pay grade=O-5; Dependents=With dependents</x:v>
      </x:c>
      <x:c r="R154" s="76" t="str">
        <x:v>https://web.archive.org/web/20250201155314id_/https://www.dfas.mil/MilitaryMembers/payentitlements/Pay-Tables/Basic-Pay/CO/</x:v>
      </x:c>
      <x:c r="S154" s="76" t="str">
        <x:v>https://www.travel.dod.mil/Allowances/Basic-Allowance-for-Housing/BAH-Rate-Lookup/</x:v>
      </x:c>
      <x:c r="T154" s="76" t="str">
        <x:v>https://www.dfas.mil/militarymembers/payentitlements/Pay-Tables/bas/</x:v>
      </x:c>
    </x:row>
    <x:row r="155">
      <x:c r="A155" s="19" t="n">
        <x:v>2025</x:v>
      </x:c>
      <x:c r="B155" s="19" t="str">
        <x:v>Actual</x:v>
      </x:c>
      <x:c r="C155" s="19" t="str">
        <x:v>O-6</x:v>
      </x:c>
      <x:c r="D155" s="19" t="str">
        <x:v>O-6 over 22</x:v>
      </x:c>
      <x:c r="E155" s="69" t="n">
        <x:v>0</x:v>
      </x:c>
      <x:c r="F155" s="79" t="n">
        <x:v>13596.3</x:v>
      </x:c>
      <x:c r="G155" s="80" t="n">
        <x:f>F155*'Assumptions &amp; Sources'!$B$7</x:f>
        <x:v>163155.59999999998</x:v>
      </x:c>
      <x:c r="H155" s="79" t="n">
        <x:v>2706</x:v>
      </x:c>
      <x:c r="I155" s="80" t="n">
        <x:f>H155*'Assumptions &amp; Sources'!$B$7</x:f>
        <x:v>32472</x:v>
      </x:c>
      <x:c r="J155" s="79" t="n">
        <x:v>320.78</x:v>
      </x:c>
      <x:c r="K155" s="80" t="n">
        <x:f>J155*'Assumptions &amp; Sources'!$B$7</x:f>
        <x:v>3849.3599999999997</x:v>
      </x:c>
      <x:c r="L155" s="80" t="n">
        <x:f>I155+K155</x:f>
        <x:v>36321.36</x:v>
      </x:c>
      <x:c r="M155" s="80" t="n">
        <x:f>G155+I155+K155</x:f>
        <x:v>199476.95999999996</x:v>
      </x:c>
      <x:c r="N155" s="80" t="n">
        <x:f>L155*'Dashboard'!$K$4/(1-'Dashboard'!$K$4)</x:f>
        <x:v>10244.486153846154</x:v>
      </x:c>
      <x:c r="O155" s="80" t="n">
        <x:f>M155+N155</x:f>
        <x:v>209721.4461538461</x:v>
      </x:c>
      <x:c r="P155" s="30" t="str">
        <x:v>OGDEN/HILL AFB, UT (UT291)</x:v>
      </x:c>
      <x:c r="Q155" s="30" t="str">
        <x:v>Year=2025; ZIP=84056; Pay grade=O-6; Dependents=With dependents</x:v>
      </x:c>
      <x:c r="R155" s="76" t="str">
        <x:v>https://web.archive.org/web/20250201155314id_/https://www.dfas.mil/MilitaryMembers/payentitlements/Pay-Tables/Basic-Pay/CO/</x:v>
      </x:c>
      <x:c r="S155" s="76" t="str">
        <x:v>https://www.travel.dod.mil/Allowances/Basic-Allowance-for-Housing/BAH-Rate-Lookup/</x:v>
      </x:c>
      <x:c r="T155" s="76" t="str">
        <x:v>https://www.dfas.mil/militarymembers/payentitlements/Pay-Tables/bas/</x:v>
      </x:c>
    </x:row>
    <x:row r="156">
      <x:c r="A156" s="19" t="n">
        <x:v>2026</x:v>
      </x:c>
      <x:c r="B156" s="19" t="str">
        <x:v>Actual</x:v>
      </x:c>
      <x:c r="C156" s="19" t="str">
        <x:v>O-1</x:v>
      </x:c>
      <x:c r="D156" s="19" t="str">
        <x:v>O-1 under 2</x:v>
      </x:c>
      <x:c r="E156" s="69" t="n">
        <x:v>0</x:v>
      </x:c>
      <x:c r="F156" s="79" t="n">
        <x:v>4150.2</x:v>
      </x:c>
      <x:c r="G156" s="80" t="n">
        <x:f>F156*'Assumptions &amp; Sources'!$B$7</x:f>
        <x:v>49802.399999999994</x:v>
      </x:c>
      <x:c r="H156" s="79" t="n">
        <x:v>2139</x:v>
      </x:c>
      <x:c r="I156" s="80" t="n">
        <x:f>H156*'Assumptions &amp; Sources'!$B$7</x:f>
        <x:v>25668</x:v>
      </x:c>
      <x:c r="J156" s="79" t="n">
        <x:v>328.48</x:v>
      </x:c>
      <x:c r="K156" s="80" t="n">
        <x:f>J156*'Assumptions &amp; Sources'!$B$7</x:f>
        <x:v>3941.76</x:v>
      </x:c>
      <x:c r="L156" s="80" t="n">
        <x:f>I156+K156</x:f>
        <x:v>29609.760000000002</x:v>
      </x:c>
      <x:c r="M156" s="80" t="n">
        <x:f>G156+I156+K156</x:f>
        <x:v>79412.15999999999</x:v>
      </x:c>
      <x:c r="N156" s="80" t="n">
        <x:f>L156*'Dashboard'!$K$4/(1-'Dashboard'!$K$4)</x:f>
        <x:v>8351.47076923077</x:v>
      </x:c>
      <x:c r="O156" s="80" t="n">
        <x:f>M156+N156</x:f>
        <x:v>87763.63076923076</x:v>
      </x:c>
      <x:c r="P156" s="30" t="str">
        <x:v>OGDEN/HILL AFB, UT (UT291)</x:v>
      </x:c>
      <x:c r="Q156" s="30" t="str">
        <x:v>Year=2026; ZIP=84056; Pay grade=O-1; Dependents=With dependents</x:v>
      </x:c>
      <x:c r="R156" s="76" t="str">
        <x:v>https://www.dfas.mil/militarymembers/payentitlements/Pay-Tables/Basic-Pay/CO/</x:v>
      </x:c>
      <x:c r="S156" s="76" t="str">
        <x:v>https://www.travel.dod.mil/Allowances/Basic-Allowance-for-Housing/BAH-Rate-Lookup/</x:v>
      </x:c>
      <x:c r="T156" s="76" t="str">
        <x:v>https://www.dfas.mil/militarymembers/payentitlements/Pay-Tables/bas/</x:v>
      </x:c>
    </x:row>
    <x:row r="157">
      <x:c r="A157" s="19" t="n">
        <x:v>2026</x:v>
      </x:c>
      <x:c r="B157" s="19" t="str">
        <x:v>Actual</x:v>
      </x:c>
      <x:c r="C157" s="19" t="str">
        <x:v>O-2</x:v>
      </x:c>
      <x:c r="D157" s="19" t="str">
        <x:v>O-2 over 2</x:v>
      </x:c>
      <x:c r="E157" s="69" t="n">
        <x:v>0</x:v>
      </x:c>
      <x:c r="F157" s="79" t="n">
        <x:v>5446.2</x:v>
      </x:c>
      <x:c r="G157" s="80" t="n">
        <x:f>F157*'Assumptions &amp; Sources'!$B$7</x:f>
        <x:v>65354.399999999994</x:v>
      </x:c>
      <x:c r="H157" s="79" t="n">
        <x:v>2226</x:v>
      </x:c>
      <x:c r="I157" s="80" t="n">
        <x:f>H157*'Assumptions &amp; Sources'!$B$7</x:f>
        <x:v>26712</x:v>
      </x:c>
      <x:c r="J157" s="79" t="n">
        <x:v>328.48</x:v>
      </x:c>
      <x:c r="K157" s="80" t="n">
        <x:f>J157*'Assumptions &amp; Sources'!$B$7</x:f>
        <x:v>3941.76</x:v>
      </x:c>
      <x:c r="L157" s="80" t="n">
        <x:f>I157+K157</x:f>
        <x:v>30653.760000000002</x:v>
      </x:c>
      <x:c r="M157" s="80" t="n">
        <x:f>G157+I157+K157</x:f>
        <x:v>96008.15999999999</x:v>
      </x:c>
      <x:c r="N157" s="80" t="n">
        <x:f>L157*'Dashboard'!$K$4/(1-'Dashboard'!$K$4)</x:f>
        <x:v>8645.932307692308</x:v>
      </x:c>
      <x:c r="O157" s="80" t="n">
        <x:f>M157+N157</x:f>
        <x:v>104654.09230769229</x:v>
      </x:c>
      <x:c r="P157" s="30" t="str">
        <x:v>OGDEN/HILL AFB, UT (UT291)</x:v>
      </x:c>
      <x:c r="Q157" s="30" t="str">
        <x:v>Year=2026; ZIP=84056; Pay grade=O-2; Dependents=With dependents</x:v>
      </x:c>
      <x:c r="R157" s="76" t="str">
        <x:v>https://www.dfas.mil/militarymembers/payentitlements/Pay-Tables/Basic-Pay/CO/</x:v>
      </x:c>
      <x:c r="S157" s="76" t="str">
        <x:v>https://www.travel.dod.mil/Allowances/Basic-Allowance-for-Housing/BAH-Rate-Lookup/</x:v>
      </x:c>
      <x:c r="T157" s="76" t="str">
        <x:v>https://www.dfas.mil/militarymembers/payentitlements/Pay-Tables/bas/</x:v>
      </x:c>
    </x:row>
    <x:row r="158">
      <x:c r="A158" s="19" t="n">
        <x:v>2026</x:v>
      </x:c>
      <x:c r="B158" s="19" t="str">
        <x:v>Actual</x:v>
      </x:c>
      <x:c r="C158" s="19" t="str">
        <x:v>O-3</x:v>
      </x:c>
      <x:c r="D158" s="19" t="str">
        <x:v>O-3 over 6</x:v>
      </x:c>
      <x:c r="E158" s="69" t="n">
        <x:v>0</x:v>
      </x:c>
      <x:c r="F158" s="79" t="n">
        <x:v>7737</x:v>
      </x:c>
      <x:c r="G158" s="80" t="n">
        <x:f>F158*'Assumptions &amp; Sources'!$B$7</x:f>
        <x:v>92844</x:v>
      </x:c>
      <x:c r="H158" s="79" t="n">
        <x:v>2361</x:v>
      </x:c>
      <x:c r="I158" s="80" t="n">
        <x:f>H158*'Assumptions &amp; Sources'!$B$7</x:f>
        <x:v>28332</x:v>
      </x:c>
      <x:c r="J158" s="79" t="n">
        <x:v>328.48</x:v>
      </x:c>
      <x:c r="K158" s="80" t="n">
        <x:f>J158*'Assumptions &amp; Sources'!$B$7</x:f>
        <x:v>3941.76</x:v>
      </x:c>
      <x:c r="L158" s="80" t="n">
        <x:f>I158+K158</x:f>
        <x:v>32273.760000000002</x:v>
      </x:c>
      <x:c r="M158" s="80" t="n">
        <x:f>G158+I158+K158</x:f>
        <x:v>125117.76</x:v>
      </x:c>
      <x:c r="N158" s="80" t="n">
        <x:f>L158*'Dashboard'!$K$4/(1-'Dashboard'!$K$4)</x:f>
        <x:v>9102.855384615385</x:v>
      </x:c>
      <x:c r="O158" s="80" t="n">
        <x:f>M158+N158</x:f>
        <x:v>134220.61538461538</x:v>
      </x:c>
      <x:c r="P158" s="30" t="str">
        <x:v>OGDEN/HILL AFB, UT (UT291)</x:v>
      </x:c>
      <x:c r="Q158" s="30" t="str">
        <x:v>Year=2026; ZIP=84056; Pay grade=O-3; Dependents=With dependents</x:v>
      </x:c>
      <x:c r="R158" s="76" t="str">
        <x:v>https://www.dfas.mil/militarymembers/payentitlements/Pay-Tables/Basic-Pay/CO/</x:v>
      </x:c>
      <x:c r="S158" s="76" t="str">
        <x:v>https://www.travel.dod.mil/Allowances/Basic-Allowance-for-Housing/BAH-Rate-Lookup/</x:v>
      </x:c>
      <x:c r="T158" s="76" t="str">
        <x:v>https://www.dfas.mil/militarymembers/payentitlements/Pay-Tables/bas/</x:v>
      </x:c>
    </x:row>
    <x:row r="159">
      <x:c r="A159" s="19" t="n">
        <x:v>2026</x:v>
      </x:c>
      <x:c r="B159" s="19" t="str">
        <x:v>Actual</x:v>
      </x:c>
      <x:c r="C159" s="19" t="str">
        <x:v>O-4</x:v>
      </x:c>
      <x:c r="D159" s="19" t="str">
        <x:v>O-4 over 10</x:v>
      </x:c>
      <x:c r="E159" s="69" t="n">
        <x:v>0</x:v>
      </x:c>
      <x:c r="F159" s="79" t="n">
        <x:v>9420</x:v>
      </x:c>
      <x:c r="G159" s="80" t="n">
        <x:f>F159*'Assumptions &amp; Sources'!$B$7</x:f>
        <x:v>113040</x:v>
      </x:c>
      <x:c r="H159" s="79" t="n">
        <x:v>2565</x:v>
      </x:c>
      <x:c r="I159" s="80" t="n">
        <x:f>H159*'Assumptions &amp; Sources'!$B$7</x:f>
        <x:v>30780</x:v>
      </x:c>
      <x:c r="J159" s="79" t="n">
        <x:v>328.48</x:v>
      </x:c>
      <x:c r="K159" s="80" t="n">
        <x:f>J159*'Assumptions &amp; Sources'!$B$7</x:f>
        <x:v>3941.76</x:v>
      </x:c>
      <x:c r="L159" s="80" t="n">
        <x:f>I159+K159</x:f>
        <x:v>34721.76</x:v>
      </x:c>
      <x:c r="M159" s="80" t="n">
        <x:f>G159+I159+K159</x:f>
        <x:v>147761.76</x:v>
      </x:c>
      <x:c r="N159" s="80" t="n">
        <x:f>L159*'Dashboard'!$K$4/(1-'Dashboard'!$K$4)</x:f>
        <x:v>9793.316923076924</x:v>
      </x:c>
      <x:c r="O159" s="80" t="n">
        <x:f>M159+N159</x:f>
        <x:v>157555.07692307694</x:v>
      </x:c>
      <x:c r="P159" s="30" t="str">
        <x:v>OGDEN/HILL AFB, UT (UT291)</x:v>
      </x:c>
      <x:c r="Q159" s="30" t="str">
        <x:v>Year=2026; ZIP=84056; Pay grade=O-4; Dependents=With dependents</x:v>
      </x:c>
      <x:c r="R159" s="76" t="str">
        <x:v>https://www.dfas.mil/militarymembers/payentitlements/Pay-Tables/Basic-Pay/CO/</x:v>
      </x:c>
      <x:c r="S159" s="76" t="str">
        <x:v>https://www.travel.dod.mil/Allowances/Basic-Allowance-for-Housing/BAH-Rate-Lookup/</x:v>
      </x:c>
      <x:c r="T159" s="76" t="str">
        <x:v>https://www.dfas.mil/militarymembers/payentitlements/Pay-Tables/bas/</x:v>
      </x:c>
    </x:row>
    <x:row r="160">
      <x:c r="A160" s="19" t="n">
        <x:v>2026</x:v>
      </x:c>
      <x:c r="B160" s="19" t="str">
        <x:v>Actual</x:v>
      </x:c>
      <x:c r="C160" s="19" t="str">
        <x:v>O-5</x:v>
      </x:c>
      <x:c r="D160" s="19" t="str">
        <x:v>O-5 over 16</x:v>
      </x:c>
      <x:c r="E160" s="69" t="n">
        <x:v>0</x:v>
      </x:c>
      <x:c r="F160" s="79" t="n">
        <x:v>11391.3</x:v>
      </x:c>
      <x:c r="G160" s="80" t="n">
        <x:f>F160*'Assumptions &amp; Sources'!$B$7</x:f>
        <x:v>136695.59999999998</x:v>
      </x:c>
      <x:c r="H160" s="79" t="n">
        <x:v>2715</x:v>
      </x:c>
      <x:c r="I160" s="80" t="n">
        <x:f>H160*'Assumptions &amp; Sources'!$B$7</x:f>
        <x:v>32580</x:v>
      </x:c>
      <x:c r="J160" s="79" t="n">
        <x:v>328.48</x:v>
      </x:c>
      <x:c r="K160" s="80" t="n">
        <x:f>J160*'Assumptions &amp; Sources'!$B$7</x:f>
        <x:v>3941.76</x:v>
      </x:c>
      <x:c r="L160" s="80" t="n">
        <x:f>I160+K160</x:f>
        <x:v>36521.76</x:v>
      </x:c>
      <x:c r="M160" s="80" t="n">
        <x:f>G160+I160+K160</x:f>
        <x:v>173217.36</x:v>
      </x:c>
      <x:c r="N160" s="80" t="n">
        <x:f>L160*'Dashboard'!$K$4/(1-'Dashboard'!$K$4)</x:f>
        <x:v>10301.009230769232</x:v>
      </x:c>
      <x:c r="O160" s="80" t="n">
        <x:f>M160+N160</x:f>
        <x:v>183518.36923076923</x:v>
      </x:c>
      <x:c r="P160" s="30" t="str">
        <x:v>OGDEN/HILL AFB, UT (UT291)</x:v>
      </x:c>
      <x:c r="Q160" s="30" t="str">
        <x:v>Year=2026; ZIP=84056; Pay grade=O-5; Dependents=With dependents</x:v>
      </x:c>
      <x:c r="R160" s="76" t="str">
        <x:v>https://www.dfas.mil/militarymembers/payentitlements/Pay-Tables/Basic-Pay/CO/</x:v>
      </x:c>
      <x:c r="S160" s="76" t="str">
        <x:v>https://www.travel.dod.mil/Allowances/Basic-Allowance-for-Housing/BAH-Rate-Lookup/</x:v>
      </x:c>
      <x:c r="T160" s="76" t="str">
        <x:v>https://www.dfas.mil/militarymembers/payentitlements/Pay-Tables/bas/</x:v>
      </x:c>
    </x:row>
    <x:row r="161">
      <x:c r="A161" s="19" t="n">
        <x:v>2026</x:v>
      </x:c>
      <x:c r="B161" s="19" t="str">
        <x:v>Actual</x:v>
      </x:c>
      <x:c r="C161" s="19" t="str">
        <x:v>O-6</x:v>
      </x:c>
      <x:c r="D161" s="19" t="str">
        <x:v>O-6 over 22</x:v>
      </x:c>
      <x:c r="E161" s="69" t="n">
        <x:v>0</x:v>
      </x:c>
      <x:c r="F161" s="79" t="n">
        <x:v>14112.9</x:v>
      </x:c>
      <x:c r="G161" s="80" t="n">
        <x:f>F161*'Assumptions &amp; Sources'!$B$7</x:f>
        <x:v>169354.8</x:v>
      </x:c>
      <x:c r="H161" s="79" t="n">
        <x:v>2733</x:v>
      </x:c>
      <x:c r="I161" s="80" t="n">
        <x:f>H161*'Assumptions &amp; Sources'!$B$7</x:f>
        <x:v>32796</x:v>
      </x:c>
      <x:c r="J161" s="79" t="n">
        <x:v>328.48</x:v>
      </x:c>
      <x:c r="K161" s="80" t="n">
        <x:f>J161*'Assumptions &amp; Sources'!$B$7</x:f>
        <x:v>3941.76</x:v>
      </x:c>
      <x:c r="L161" s="80" t="n">
        <x:f>I161+K161</x:f>
        <x:v>36737.76</x:v>
      </x:c>
      <x:c r="M161" s="80" t="n">
        <x:f>G161+I161+K161</x:f>
        <x:v>206092.56</x:v>
      </x:c>
      <x:c r="N161" s="80" t="n">
        <x:f>L161*'Dashboard'!$K$4/(1-'Dashboard'!$K$4)</x:f>
        <x:v>10361.932307692308</x:v>
      </x:c>
      <x:c r="O161" s="80" t="n">
        <x:f>M161+N161</x:f>
        <x:v>216454.4923076923</x:v>
      </x:c>
      <x:c r="P161" s="30" t="str">
        <x:v>OGDEN/HILL AFB, UT (UT291)</x:v>
      </x:c>
      <x:c r="Q161" s="30" t="str">
        <x:v>Year=2026; ZIP=84056; Pay grade=O-6; Dependents=With dependents</x:v>
      </x:c>
      <x:c r="R161" s="76" t="str">
        <x:v>https://www.dfas.mil/militarymembers/payentitlements/Pay-Tables/Basic-Pay/CO/</x:v>
      </x:c>
      <x:c r="S161" s="76" t="str">
        <x:v>https://www.travel.dod.mil/Allowances/Basic-Allowance-for-Housing/BAH-Rate-Lookup/</x:v>
      </x:c>
      <x:c r="T161" s="76" t="str">
        <x:v>https://www.dfas.mil/militarymembers/payentitlements/Pay-Tables/bas/</x:v>
      </x:c>
    </x:row>
    <x:row r="162">
      <x:c r="A162" s="70" t="str">
        <x:v>2027F</x:v>
      </x:c>
      <x:c r="B162" s="70" t="str">
        <x:v>Forecast</x:v>
      </x:c>
      <x:c r="C162" s="70" t="str">
        <x:v>O-1</x:v>
      </x:c>
      <x:c r="D162" s="70" t="str">
        <x:v>O-1 under 2</x:v>
      </x:c>
      <x:c r="E162" s="71" t="n">
        <x:f>'Assumptions &amp; Sources'!$B$14</x:f>
        <x:v>0.06</x:v>
      </x:c>
      <x:c r="F162" s="81" t="n">
        <x:f>F156*(1+E162)</x:f>
        <x:v>4399.212</x:v>
      </x:c>
      <x:c r="G162" s="81" t="n">
        <x:f>F162*'Assumptions &amp; Sources'!$B$7</x:f>
        <x:v>52790.54400000001</x:v>
      </x:c>
      <x:c r="H162" s="81" t="n">
        <x:f>H156*(1+'Assumptions &amp; Sources'!$B$16)</x:f>
        <x:v>2139</x:v>
      </x:c>
      <x:c r="I162" s="81" t="n">
        <x:f>H162*'Assumptions &amp; Sources'!$B$7</x:f>
        <x:v>25668</x:v>
      </x:c>
      <x:c r="J162" s="81" t="n">
        <x:f>J156*(1+'Assumptions &amp; Sources'!$B$17)</x:f>
        <x:v>328.48</x:v>
      </x:c>
      <x:c r="K162" s="81" t="n">
        <x:f>J162*'Assumptions &amp; Sources'!$B$7</x:f>
        <x:v>3941.76</x:v>
      </x:c>
      <x:c r="L162" s="81" t="n">
        <x:f>I162+K162</x:f>
        <x:v>29609.760000000002</x:v>
      </x:c>
      <x:c r="M162" s="81" t="n">
        <x:f>G162+I162+K162</x:f>
        <x:v>82400.304</x:v>
      </x:c>
      <x:c r="N162" s="81" t="n">
        <x:f>L162*'Dashboard'!$K$4/(1-'Dashboard'!$K$4)</x:f>
        <x:v>8351.47076923077</x:v>
      </x:c>
      <x:c r="O162" s="81" t="n">
        <x:f>M162+N162</x:f>
        <x:v>90751.77476923077</x:v>
      </x:c>
      <x:c r="P162" s="82" t="str">
        <x:v>OGDEN/HILL AFB, UT (UT291)</x:v>
      </x:c>
      <x:c r="Q162" s="82" t="str">
        <x:v>2027 forecast; ZIP=84056; Pay grade=O-1; with dependents; 2026 BAH held flat</x:v>
      </x:c>
      <x:c r="R162" s="83" t="str">
        <x:v>https://www.whitehouse.gov/wp-content/uploads/2026/04/budget_fy2027.pdf</x:v>
      </x:c>
      <x:c r="S162" s="83" t="str">
        <x:v>https://www.travel.dod.mil/Allowances/Basic-Allowance-for-Housing/BAH-Rate-Lookup/</x:v>
      </x:c>
      <x:c r="T162" s="83" t="str">
        <x:v>https://www.dfas.mil/militarymembers/payentitlements/Pay-Tables/bas/</x:v>
      </x:c>
    </x:row>
    <x:row r="163">
      <x:c r="A163" s="70" t="str">
        <x:v>2027F</x:v>
      </x:c>
      <x:c r="B163" s="70" t="str">
        <x:v>Forecast</x:v>
      </x:c>
      <x:c r="C163" s="70" t="str">
        <x:v>O-2</x:v>
      </x:c>
      <x:c r="D163" s="70" t="str">
        <x:v>O-2 over 2</x:v>
      </x:c>
      <x:c r="E163" s="71" t="n">
        <x:f>'Assumptions &amp; Sources'!$B$14</x:f>
        <x:v>0.06</x:v>
      </x:c>
      <x:c r="F163" s="81" t="n">
        <x:f>F157*(1+E163)</x:f>
        <x:v>5772.972</x:v>
      </x:c>
      <x:c r="G163" s="81" t="n">
        <x:f>F163*'Assumptions &amp; Sources'!$B$7</x:f>
        <x:v>69275.66399999999</x:v>
      </x:c>
      <x:c r="H163" s="81" t="n">
        <x:f>H157*(1+'Assumptions &amp; Sources'!$B$16)</x:f>
        <x:v>2226</x:v>
      </x:c>
      <x:c r="I163" s="81" t="n">
        <x:f>H163*'Assumptions &amp; Sources'!$B$7</x:f>
        <x:v>26712</x:v>
      </x:c>
      <x:c r="J163" s="81" t="n">
        <x:f>J157*(1+'Assumptions &amp; Sources'!$B$17)</x:f>
        <x:v>328.48</x:v>
      </x:c>
      <x:c r="K163" s="81" t="n">
        <x:f>J163*'Assumptions &amp; Sources'!$B$7</x:f>
        <x:v>3941.76</x:v>
      </x:c>
      <x:c r="L163" s="81" t="n">
        <x:f>I163+K163</x:f>
        <x:v>30653.760000000002</x:v>
      </x:c>
      <x:c r="M163" s="81" t="n">
        <x:f>G163+I163+K163</x:f>
        <x:v>99929.42399999998</x:v>
      </x:c>
      <x:c r="N163" s="81" t="n">
        <x:f>L163*'Dashboard'!$K$4/(1-'Dashboard'!$K$4)</x:f>
        <x:v>8645.932307692308</x:v>
      </x:c>
      <x:c r="O163" s="81" t="n">
        <x:f>M163+N163</x:f>
        <x:v>108575.35630769229</x:v>
      </x:c>
      <x:c r="P163" s="82" t="str">
        <x:v>OGDEN/HILL AFB, UT (UT291)</x:v>
      </x:c>
      <x:c r="Q163" s="82" t="str">
        <x:v>2027 forecast; ZIP=84056; Pay grade=O-2; with dependents; 2026 BAH held flat</x:v>
      </x:c>
      <x:c r="R163" s="83" t="str">
        <x:v>https://www.whitehouse.gov/wp-content/uploads/2026/04/budget_fy2027.pdf</x:v>
      </x:c>
      <x:c r="S163" s="83" t="str">
        <x:v>https://www.travel.dod.mil/Allowances/Basic-Allowance-for-Housing/BAH-Rate-Lookup/</x:v>
      </x:c>
      <x:c r="T163" s="83" t="str">
        <x:v>https://www.dfas.mil/militarymembers/payentitlements/Pay-Tables/bas/</x:v>
      </x:c>
    </x:row>
    <x:row r="164">
      <x:c r="A164" s="70" t="str">
        <x:v>2027F</x:v>
      </x:c>
      <x:c r="B164" s="70" t="str">
        <x:v>Forecast</x:v>
      </x:c>
      <x:c r="C164" s="70" t="str">
        <x:v>O-3</x:v>
      </x:c>
      <x:c r="D164" s="70" t="str">
        <x:v>O-3 over 6</x:v>
      </x:c>
      <x:c r="E164" s="71" t="n">
        <x:f>'Assumptions &amp; Sources'!$B$14</x:f>
        <x:v>0.06</x:v>
      </x:c>
      <x:c r="F164" s="81" t="n">
        <x:f>F158*(1+E164)</x:f>
        <x:v>8201.220000000001</x:v>
      </x:c>
      <x:c r="G164" s="81" t="n">
        <x:f>F164*'Assumptions &amp; Sources'!$B$7</x:f>
        <x:v>98414.64000000001</x:v>
      </x:c>
      <x:c r="H164" s="81" t="n">
        <x:f>H158*(1+'Assumptions &amp; Sources'!$B$16)</x:f>
        <x:v>2361</x:v>
      </x:c>
      <x:c r="I164" s="81" t="n">
        <x:f>H164*'Assumptions &amp; Sources'!$B$7</x:f>
        <x:v>28332</x:v>
      </x:c>
      <x:c r="J164" s="81" t="n">
        <x:f>J158*(1+'Assumptions &amp; Sources'!$B$17)</x:f>
        <x:v>328.48</x:v>
      </x:c>
      <x:c r="K164" s="81" t="n">
        <x:f>J164*'Assumptions &amp; Sources'!$B$7</x:f>
        <x:v>3941.76</x:v>
      </x:c>
      <x:c r="L164" s="81" t="n">
        <x:f>I164+K164</x:f>
        <x:v>32273.760000000002</x:v>
      </x:c>
      <x:c r="M164" s="81" t="n">
        <x:f>G164+I164+K164</x:f>
        <x:v>130688.40000000001</x:v>
      </x:c>
      <x:c r="N164" s="81" t="n">
        <x:f>L164*'Dashboard'!$K$4/(1-'Dashboard'!$K$4)</x:f>
        <x:v>9102.855384615385</x:v>
      </x:c>
      <x:c r="O164" s="81" t="n">
        <x:f>M164+N164</x:f>
        <x:v>139791.2553846154</x:v>
      </x:c>
      <x:c r="P164" s="82" t="str">
        <x:v>OGDEN/HILL AFB, UT (UT291)</x:v>
      </x:c>
      <x:c r="Q164" s="82" t="str">
        <x:v>2027 forecast; ZIP=84056; Pay grade=O-3; with dependents; 2026 BAH held flat</x:v>
      </x:c>
      <x:c r="R164" s="83" t="str">
        <x:v>https://www.whitehouse.gov/wp-content/uploads/2026/04/budget_fy2027.pdf</x:v>
      </x:c>
      <x:c r="S164" s="83" t="str">
        <x:v>https://www.travel.dod.mil/Allowances/Basic-Allowance-for-Housing/BAH-Rate-Lookup/</x:v>
      </x:c>
      <x:c r="T164" s="83" t="str">
        <x:v>https://www.dfas.mil/militarymembers/payentitlements/Pay-Tables/bas/</x:v>
      </x:c>
    </x:row>
    <x:row r="165">
      <x:c r="A165" s="70" t="str">
        <x:v>2027F</x:v>
      </x:c>
      <x:c r="B165" s="70" t="str">
        <x:v>Forecast</x:v>
      </x:c>
      <x:c r="C165" s="70" t="str">
        <x:v>O-4</x:v>
      </x:c>
      <x:c r="D165" s="70" t="str">
        <x:v>O-4 over 10</x:v>
      </x:c>
      <x:c r="E165" s="71" t="n">
        <x:f>'Assumptions &amp; Sources'!$B$15</x:f>
        <x:v>0.05</x:v>
      </x:c>
      <x:c r="F165" s="81" t="n">
        <x:f>F159*(1+E165)</x:f>
        <x:v>9891</x:v>
      </x:c>
      <x:c r="G165" s="81" t="n">
        <x:f>F165*'Assumptions &amp; Sources'!$B$7</x:f>
        <x:v>118692</x:v>
      </x:c>
      <x:c r="H165" s="81" t="n">
        <x:f>H159*(1+'Assumptions &amp; Sources'!$B$16)</x:f>
        <x:v>2565</x:v>
      </x:c>
      <x:c r="I165" s="81" t="n">
        <x:f>H165*'Assumptions &amp; Sources'!$B$7</x:f>
        <x:v>30780</x:v>
      </x:c>
      <x:c r="J165" s="81" t="n">
        <x:f>J159*(1+'Assumptions &amp; Sources'!$B$17)</x:f>
        <x:v>328.48</x:v>
      </x:c>
      <x:c r="K165" s="81" t="n">
        <x:f>J165*'Assumptions &amp; Sources'!$B$7</x:f>
        <x:v>3941.76</x:v>
      </x:c>
      <x:c r="L165" s="81" t="n">
        <x:f>I165+K165</x:f>
        <x:v>34721.76</x:v>
      </x:c>
      <x:c r="M165" s="81" t="n">
        <x:f>G165+I165+K165</x:f>
        <x:v>153413.76</x:v>
      </x:c>
      <x:c r="N165" s="81" t="n">
        <x:f>L165*'Dashboard'!$K$4/(1-'Dashboard'!$K$4)</x:f>
        <x:v>9793.316923076924</x:v>
      </x:c>
      <x:c r="O165" s="81" t="n">
        <x:f>M165+N165</x:f>
        <x:v>163207.07692307694</x:v>
      </x:c>
      <x:c r="P165" s="82" t="str">
        <x:v>OGDEN/HILL AFB, UT (UT291)</x:v>
      </x:c>
      <x:c r="Q165" s="82" t="str">
        <x:v>2027 forecast; ZIP=84056; Pay grade=O-4; with dependents; 2026 BAH held flat</x:v>
      </x:c>
      <x:c r="R165" s="83" t="str">
        <x:v>https://www.whitehouse.gov/wp-content/uploads/2026/04/budget_fy2027.pdf</x:v>
      </x:c>
      <x:c r="S165" s="83" t="str">
        <x:v>https://www.travel.dod.mil/Allowances/Basic-Allowance-for-Housing/BAH-Rate-Lookup/</x:v>
      </x:c>
      <x:c r="T165" s="83" t="str">
        <x:v>https://www.dfas.mil/militarymembers/payentitlements/Pay-Tables/bas/</x:v>
      </x:c>
    </x:row>
    <x:row r="166">
      <x:c r="A166" s="70" t="str">
        <x:v>2027F</x:v>
      </x:c>
      <x:c r="B166" s="70" t="str">
        <x:v>Forecast</x:v>
      </x:c>
      <x:c r="C166" s="70" t="str">
        <x:v>O-5</x:v>
      </x:c>
      <x:c r="D166" s="70" t="str">
        <x:v>O-5 over 16</x:v>
      </x:c>
      <x:c r="E166" s="71" t="n">
        <x:f>'Assumptions &amp; Sources'!$B$15</x:f>
        <x:v>0.05</x:v>
      </x:c>
      <x:c r="F166" s="81" t="n">
        <x:f>F160*(1+E166)</x:f>
        <x:v>11960.865</x:v>
      </x:c>
      <x:c r="G166" s="81" t="n">
        <x:f>F166*'Assumptions &amp; Sources'!$B$7</x:f>
        <x:v>143530.38</x:v>
      </x:c>
      <x:c r="H166" s="81" t="n">
        <x:f>H160*(1+'Assumptions &amp; Sources'!$B$16)</x:f>
        <x:v>2715</x:v>
      </x:c>
      <x:c r="I166" s="81" t="n">
        <x:f>H166*'Assumptions &amp; Sources'!$B$7</x:f>
        <x:v>32580</x:v>
      </x:c>
      <x:c r="J166" s="81" t="n">
        <x:f>J160*(1+'Assumptions &amp; Sources'!$B$17)</x:f>
        <x:v>328.48</x:v>
      </x:c>
      <x:c r="K166" s="81" t="n">
        <x:f>J166*'Assumptions &amp; Sources'!$B$7</x:f>
        <x:v>3941.76</x:v>
      </x:c>
      <x:c r="L166" s="81" t="n">
        <x:f>I166+K166</x:f>
        <x:v>36521.76</x:v>
      </x:c>
      <x:c r="M166" s="81" t="n">
        <x:f>G166+I166+K166</x:f>
        <x:v>180052.14</x:v>
      </x:c>
      <x:c r="N166" s="81" t="n">
        <x:f>L166*'Dashboard'!$K$4/(1-'Dashboard'!$K$4)</x:f>
        <x:v>10301.009230769232</x:v>
      </x:c>
      <x:c r="O166" s="81" t="n">
        <x:f>M166+N166</x:f>
        <x:v>190353.14923076925</x:v>
      </x:c>
      <x:c r="P166" s="82" t="str">
        <x:v>OGDEN/HILL AFB, UT (UT291)</x:v>
      </x:c>
      <x:c r="Q166" s="82" t="str">
        <x:v>2027 forecast; ZIP=84056; Pay grade=O-5; with dependents; 2026 BAH held flat</x:v>
      </x:c>
      <x:c r="R166" s="83" t="str">
        <x:v>https://www.whitehouse.gov/wp-content/uploads/2026/04/budget_fy2027.pdf</x:v>
      </x:c>
      <x:c r="S166" s="83" t="str">
        <x:v>https://www.travel.dod.mil/Allowances/Basic-Allowance-for-Housing/BAH-Rate-Lookup/</x:v>
      </x:c>
      <x:c r="T166" s="83" t="str">
        <x:v>https://www.dfas.mil/militarymembers/payentitlements/Pay-Tables/bas/</x:v>
      </x:c>
    </x:row>
    <x:row r="167">
      <x:c r="A167" s="70" t="str">
        <x:v>2027F</x:v>
      </x:c>
      <x:c r="B167" s="70" t="str">
        <x:v>Forecast</x:v>
      </x:c>
      <x:c r="C167" s="70" t="str">
        <x:v>O-6</x:v>
      </x:c>
      <x:c r="D167" s="70" t="str">
        <x:v>O-6 over 22</x:v>
      </x:c>
      <x:c r="E167" s="71" t="n">
        <x:f>'Assumptions &amp; Sources'!$B$15</x:f>
        <x:v>0.05</x:v>
      </x:c>
      <x:c r="F167" s="81" t="n">
        <x:f>F161*(1+E167)</x:f>
        <x:v>14818.545</x:v>
      </x:c>
      <x:c r="G167" s="81" t="n">
        <x:f>F167*'Assumptions &amp; Sources'!$B$7</x:f>
        <x:v>177822.54</x:v>
      </x:c>
      <x:c r="H167" s="81" t="n">
        <x:f>H161*(1+'Assumptions &amp; Sources'!$B$16)</x:f>
        <x:v>2733</x:v>
      </x:c>
      <x:c r="I167" s="81" t="n">
        <x:f>H167*'Assumptions &amp; Sources'!$B$7</x:f>
        <x:v>32796</x:v>
      </x:c>
      <x:c r="J167" s="81" t="n">
        <x:f>J161*(1+'Assumptions &amp; Sources'!$B$17)</x:f>
        <x:v>328.48</x:v>
      </x:c>
      <x:c r="K167" s="81" t="n">
        <x:f>J167*'Assumptions &amp; Sources'!$B$7</x:f>
        <x:v>3941.76</x:v>
      </x:c>
      <x:c r="L167" s="81" t="n">
        <x:f>I167+K167</x:f>
        <x:v>36737.76</x:v>
      </x:c>
      <x:c r="M167" s="81" t="n">
        <x:f>G167+I167+K167</x:f>
        <x:v>214560.30000000002</x:v>
      </x:c>
      <x:c r="N167" s="81" t="n">
        <x:f>L167*'Dashboard'!$K$4/(1-'Dashboard'!$K$4)</x:f>
        <x:v>10361.932307692308</x:v>
      </x:c>
      <x:c r="O167" s="81" t="n">
        <x:f>M167+N167</x:f>
        <x:v>224922.23230769232</x:v>
      </x:c>
      <x:c r="P167" s="82" t="str">
        <x:v>OGDEN/HILL AFB, UT (UT291)</x:v>
      </x:c>
      <x:c r="Q167" s="82" t="str">
        <x:v>2027 forecast; ZIP=84056; Pay grade=O-6; with dependents; 2026 BAH held flat</x:v>
      </x:c>
      <x:c r="R167" s="83" t="str">
        <x:v>https://www.whitehouse.gov/wp-content/uploads/2026/04/budget_fy2027.pdf</x:v>
      </x:c>
      <x:c r="S167" s="83" t="str">
        <x:v>https://www.travel.dod.mil/Allowances/Basic-Allowance-for-Housing/BAH-Rate-Lookup/</x:v>
      </x:c>
      <x:c r="T167" s="83" t="str">
        <x:v>https://www.dfas.mil/militarymembers/payentitlements/Pay-Tables/bas/</x:v>
      </x:c>
    </x:row>
  </x:sheetData>
  <x:mergeCells>
    <x:mergeCell ref="A1:T1"/>
    <x:mergeCell ref="A2:T2"/>
  </x:mergeCells>
  <x:pageMargins left="0.7" right="0.7" top="0.75" bottom="0.75" header="0.3" footer="0.3"/>
  <x:tableParts count="1">
    <x:tablePart xmlns:r="http://schemas.openxmlformats.org/officeDocument/2006/relationships" r:id="Re8f48b4d419e4cdf"/>
  </x:tableParts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2" hidden="0" customWidth="1"/>
    <x:col min="3" max="3" width="20" hidden="0" customWidth="1"/>
    <x:col min="4" max="4" width="20" hidden="0" customWidth="1"/>
    <x:col min="5" max="5" width="20" hidden="0" customWidth="1"/>
    <x:col min="6" max="6" width="34" hidden="0" customWidth="1"/>
    <x:col min="7" max="7" width="54" hidden="0" customWidth="1"/>
  </x:cols>
  <x:sheetData>
    <x:row r="1" ht="32" customHeight="1">
      <x:c r="A1" s="3" t="str">
        <x:v>Average Private Wage Source</x:v>
      </x:c>
      <x:c r="B1" s="3"/>
      <x:c r="C1" s="3"/>
      <x:c r="D1" s="3"/>
      <x:c r="E1" s="3"/>
      <x:c r="F1" s="3"/>
      <x:c r="G1" s="3"/>
    </x:row>
    <x:row r="2" ht="34" customHeight="1">
      <x:c r="A2" s="7" t="str">
        <x:v>BLS average employer wage-and-salary cost per employee hour, annualized at 2,080 hours. The 2026 value is Q1 partial-year; 2027F applies CBO's 3.2% forecast.</x:v>
      </x:c>
      <x:c r="B2" s="7"/>
      <x:c r="C2" s="7"/>
      <x:c r="D2" s="7"/>
      <x:c r="E2" s="7"/>
      <x:c r="F2" s="7"/>
      <x:c r="G2" s="7"/>
    </x:row>
    <x:row r="5" ht="32" customHeight="1">
      <x:c r="A5" s="13" t="str">
        <x:v>Year</x:v>
      </x:c>
      <x:c r="B5" s="13" t="str">
        <x:v>Status</x:v>
      </x:c>
      <x:c r="C5" s="13" t="str">
        <x:v>Average Hourly Wage</x:v>
      </x:c>
      <x:c r="D5" s="13" t="str">
        <x:v>Annualization Hours</x:v>
      </x:c>
      <x:c r="E5" s="13" t="str">
        <x:v>Annual Wage Equivalent</x:v>
      </x:c>
      <x:c r="F5" s="13" t="str">
        <x:v>Observation Status</x:v>
      </x:c>
      <x:c r="G5" s="13" t="str">
        <x:v>Source URL</x:v>
      </x:c>
    </x:row>
    <x:row r="6">
      <x:c r="A6" s="18" t="n">
        <x:v>2001</x:v>
      </x:c>
      <x:c r="B6" s="18" t="str">
        <x:v>Actual</x:v>
      </x:c>
      <x:c r="C6" s="84" t="n">
        <x:v>15.18</x:v>
      </x:c>
      <x:c r="D6" s="86" t="n">
        <x:f>'Assumptions &amp; Sources'!$B$11</x:f>
        <x:v>2080</x:v>
      </x:c>
      <x:c r="E6" s="66" t="n">
        <x:f>C6*D6</x:f>
        <x:v>31574.399999999998</x:v>
      </x:c>
      <x:c r="F6" s="27" t="str">
        <x:v>Annual observation</x:v>
      </x:c>
      <x:c r="G6" s="75" t="str">
        <x:v>https://download.bls.gov/pub/time.series/cc/cc.data.1.AllData</x:v>
      </x:c>
    </x:row>
    <x:row r="7">
      <x:c r="A7" s="19" t="n">
        <x:v>2002</x:v>
      </x:c>
      <x:c r="B7" s="19" t="str">
        <x:v>Actual</x:v>
      </x:c>
      <x:c r="C7" s="85" t="n">
        <x:v>15.945</x:v>
      </x:c>
      <x:c r="D7" s="87" t="n">
        <x:f>'Assumptions &amp; Sources'!$B$11</x:f>
        <x:v>2080</x:v>
      </x:c>
      <x:c r="E7" s="67" t="n">
        <x:f>C7*D7</x:f>
        <x:v>33165.6</x:v>
      </x:c>
      <x:c r="F7" s="30" t="str">
        <x:v>Annual average of 4 quarters</x:v>
      </x:c>
      <x:c r="G7" s="76" t="str">
        <x:v>https://download.bls.gov/pub/time.series/cc/cc.data.1.AllData</x:v>
      </x:c>
    </x:row>
    <x:row r="8">
      <x:c r="A8" s="19" t="n">
        <x:v>2003</x:v>
      </x:c>
      <x:c r="B8" s="19" t="str">
        <x:v>Actual</x:v>
      </x:c>
      <x:c r="C8" s="85" t="n">
        <x:v>16.3525</x:v>
      </x:c>
      <x:c r="D8" s="87" t="n">
        <x:f>'Assumptions &amp; Sources'!$B$11</x:f>
        <x:v>2080</x:v>
      </x:c>
      <x:c r="E8" s="67" t="n">
        <x:f>C8*D8</x:f>
        <x:v>34013.2</x:v>
      </x:c>
      <x:c r="F8" s="30" t="str">
        <x:v>Annual average of 4 quarters</x:v>
      </x:c>
      <x:c r="G8" s="76" t="str">
        <x:v>https://download.bls.gov/pub/time.series/cc/cc.data.1.AllData</x:v>
      </x:c>
    </x:row>
    <x:row r="9">
      <x:c r="A9" s="19" t="n">
        <x:v>2004</x:v>
      </x:c>
      <x:c r="B9" s="19" t="str">
        <x:v>Actual</x:v>
      </x:c>
      <x:c r="C9" s="85" t="n">
        <x:v>16.8325</x:v>
      </x:c>
      <x:c r="D9" s="87" t="n">
        <x:f>'Assumptions &amp; Sources'!$B$11</x:f>
        <x:v>2080</x:v>
      </x:c>
      <x:c r="E9" s="67" t="n">
        <x:f>C9*D9</x:f>
        <x:v>35011.6</x:v>
      </x:c>
      <x:c r="F9" s="30" t="str">
        <x:v>Annual average of 4 quarters</x:v>
      </x:c>
      <x:c r="G9" s="76" t="str">
        <x:v>https://download.bls.gov/pub/time.series/cm/cm.data.1.AllData</x:v>
      </x:c>
    </x:row>
    <x:row r="10">
      <x:c r="A10" s="19" t="n">
        <x:v>2005</x:v>
      </x:c>
      <x:c r="B10" s="19" t="str">
        <x:v>Actual</x:v>
      </x:c>
      <x:c r="C10" s="85" t="n">
        <x:v>17.275000000000002</x:v>
      </x:c>
      <x:c r="D10" s="87" t="n">
        <x:f>'Assumptions &amp; Sources'!$B$11</x:f>
        <x:v>2080</x:v>
      </x:c>
      <x:c r="E10" s="67" t="n">
        <x:f>C10*D10</x:f>
        <x:v>35932.00000000001</x:v>
      </x:c>
      <x:c r="F10" s="30" t="str">
        <x:v>Annual average of 4 quarters</x:v>
      </x:c>
      <x:c r="G10" s="76" t="str">
        <x:v>https://download.bls.gov/pub/time.series/cm/cm.data.1.AllData</x:v>
      </x:c>
    </x:row>
    <x:row r="11">
      <x:c r="A11" s="19" t="n">
        <x:v>2006</x:v>
      </x:c>
      <x:c r="B11" s="19" t="str">
        <x:v>Actual</x:v>
      </x:c>
      <x:c r="C11" s="85" t="n">
        <x:v>17.9125</x:v>
      </x:c>
      <x:c r="D11" s="87" t="n">
        <x:f>'Assumptions &amp; Sources'!$B$11</x:f>
        <x:v>2080</x:v>
      </x:c>
      <x:c r="E11" s="67" t="n">
        <x:f>C11*D11</x:f>
        <x:v>37258</x:v>
      </x:c>
      <x:c r="F11" s="30" t="str">
        <x:v>Annual average of 4 quarters</x:v>
      </x:c>
      <x:c r="G11" s="76" t="str">
        <x:v>https://download.bls.gov/pub/time.series/cm/cm.data.1.AllData</x:v>
      </x:c>
    </x:row>
    <x:row r="12">
      <x:c r="A12" s="19" t="n">
        <x:v>2007</x:v>
      </x:c>
      <x:c r="B12" s="19" t="str">
        <x:v>Actual</x:v>
      </x:c>
      <x:c r="C12" s="85" t="n">
        <x:v>18.4375</x:v>
      </x:c>
      <x:c r="D12" s="87" t="n">
        <x:f>'Assumptions &amp; Sources'!$B$11</x:f>
        <x:v>2080</x:v>
      </x:c>
      <x:c r="E12" s="67" t="n">
        <x:f>C12*D12</x:f>
        <x:v>38350</x:v>
      </x:c>
      <x:c r="F12" s="30" t="str">
        <x:v>Annual average of 4 quarters</x:v>
      </x:c>
      <x:c r="G12" s="76" t="str">
        <x:v>https://download.bls.gov/pub/time.series/cm/cm.data.1.AllData</x:v>
      </x:c>
    </x:row>
    <x:row r="13">
      <x:c r="A13" s="19" t="n">
        <x:v>2008</x:v>
      </x:c>
      <x:c r="B13" s="19" t="str">
        <x:v>Actual</x:v>
      </x:c>
      <x:c r="C13" s="85" t="n">
        <x:v>19.085</x:v>
      </x:c>
      <x:c r="D13" s="87" t="n">
        <x:f>'Assumptions &amp; Sources'!$B$11</x:f>
        <x:v>2080</x:v>
      </x:c>
      <x:c r="E13" s="67" t="n">
        <x:f>C13*D13</x:f>
        <x:v>39696.8</x:v>
      </x:c>
      <x:c r="F13" s="30" t="str">
        <x:v>Annual average of 4 quarters</x:v>
      </x:c>
      <x:c r="G13" s="76" t="str">
        <x:v>https://download.bls.gov/pub/time.series/cm/cm.data.1.AllData</x:v>
      </x:c>
    </x:row>
    <x:row r="14">
      <x:c r="A14" s="19" t="n">
        <x:v>2009</x:v>
      </x:c>
      <x:c r="B14" s="19" t="str">
        <x:v>Actual</x:v>
      </x:c>
      <x:c r="C14" s="85" t="n">
        <x:v>19.425</x:v>
      </x:c>
      <x:c r="D14" s="87" t="n">
        <x:f>'Assumptions &amp; Sources'!$B$11</x:f>
        <x:v>2080</x:v>
      </x:c>
      <x:c r="E14" s="67" t="n">
        <x:f>C14*D14</x:f>
        <x:v>40404</x:v>
      </x:c>
      <x:c r="F14" s="30" t="str">
        <x:v>Annual average of 4 quarters</x:v>
      </x:c>
      <x:c r="G14" s="76" t="str">
        <x:v>https://download.bls.gov/pub/time.series/cm/cm.data.1.AllData</x:v>
      </x:c>
    </x:row>
    <x:row r="15">
      <x:c r="A15" s="19" t="n">
        <x:v>2010</x:v>
      </x:c>
      <x:c r="B15" s="19" t="str">
        <x:v>Actual</x:v>
      </x:c>
      <x:c r="C15" s="85" t="n">
        <x:v>19.6075</x:v>
      </x:c>
      <x:c r="D15" s="87" t="n">
        <x:f>'Assumptions &amp; Sources'!$B$11</x:f>
        <x:v>2080</x:v>
      </x:c>
      <x:c r="E15" s="67" t="n">
        <x:f>C15*D15</x:f>
        <x:v>40783.600000000006</x:v>
      </x:c>
      <x:c r="F15" s="30" t="str">
        <x:v>Annual average of 4 quarters</x:v>
      </x:c>
      <x:c r="G15" s="76" t="str">
        <x:v>https://download.bls.gov/pub/time.series/cm/cm.data.1.AllData</x:v>
      </x:c>
    </x:row>
    <x:row r="16">
      <x:c r="A16" s="19" t="n">
        <x:v>2011</x:v>
      </x:c>
      <x:c r="B16" s="19" t="str">
        <x:v>Actual</x:v>
      </x:c>
      <x:c r="C16" s="85" t="n">
        <x:v>19.9275</x:v>
      </x:c>
      <x:c r="D16" s="87" t="n">
        <x:f>'Assumptions &amp; Sources'!$B$11</x:f>
        <x:v>2080</x:v>
      </x:c>
      <x:c r="E16" s="67" t="n">
        <x:f>C16*D16</x:f>
        <x:v>41449.2</x:v>
      </x:c>
      <x:c r="F16" s="30" t="str">
        <x:v>Annual average of 4 quarters</x:v>
      </x:c>
      <x:c r="G16" s="76" t="str">
        <x:v>https://download.bls.gov/pub/time.series/cm/cm.data.1.AllData</x:v>
      </x:c>
    </x:row>
    <x:row r="17">
      <x:c r="A17" s="19" t="n">
        <x:v>2012</x:v>
      </x:c>
      <x:c r="B17" s="19" t="str">
        <x:v>Actual</x:v>
      </x:c>
      <x:c r="C17" s="85" t="n">
        <x:v>20.299999999999997</x:v>
      </x:c>
      <x:c r="D17" s="87" t="n">
        <x:f>'Assumptions &amp; Sources'!$B$11</x:f>
        <x:v>2080</x:v>
      </x:c>
      <x:c r="E17" s="67" t="n">
        <x:f>C17*D17</x:f>
        <x:v>42223.99999999999</x:v>
      </x:c>
      <x:c r="F17" s="30" t="str">
        <x:v>Annual average of 4 quarters</x:v>
      </x:c>
      <x:c r="G17" s="76" t="str">
        <x:v>https://download.bls.gov/pub/time.series/cm/cm.data.1.AllData</x:v>
      </x:c>
    </x:row>
    <x:row r="18">
      <x:c r="A18" s="19" t="n">
        <x:v>2013</x:v>
      </x:c>
      <x:c r="B18" s="19" t="str">
        <x:v>Actual</x:v>
      </x:c>
      <x:c r="C18" s="85" t="n">
        <x:v>20.5625</x:v>
      </x:c>
      <x:c r="D18" s="87" t="n">
        <x:f>'Assumptions &amp; Sources'!$B$11</x:f>
        <x:v>2080</x:v>
      </x:c>
      <x:c r="E18" s="67" t="n">
        <x:f>C18*D18</x:f>
        <x:v>42770</x:v>
      </x:c>
      <x:c r="F18" s="30" t="str">
        <x:v>Annual average of 4 quarters</x:v>
      </x:c>
      <x:c r="G18" s="76" t="str">
        <x:v>https://download.bls.gov/pub/time.series/cm/cm.data.1.AllData</x:v>
      </x:c>
    </x:row>
    <x:row r="19">
      <x:c r="A19" s="19" t="n">
        <x:v>2014</x:v>
      </x:c>
      <x:c r="B19" s="19" t="str">
        <x:v>Actual</x:v>
      </x:c>
      <x:c r="C19" s="85" t="n">
        <x:v>21.22</x:v>
      </x:c>
      <x:c r="D19" s="87" t="n">
        <x:f>'Assumptions &amp; Sources'!$B$11</x:f>
        <x:v>2080</x:v>
      </x:c>
      <x:c r="E19" s="67" t="n">
        <x:f>C19*D19</x:f>
        <x:v>44137.6</x:v>
      </x:c>
      <x:c r="F19" s="30" t="str">
        <x:v>Annual average of 4 quarters</x:v>
      </x:c>
      <x:c r="G19" s="76" t="str">
        <x:v>https://download.bls.gov/pub/time.series/cm/cm.data.1.AllData</x:v>
      </x:c>
    </x:row>
    <x:row r="20">
      <x:c r="A20" s="19" t="n">
        <x:v>2015</x:v>
      </x:c>
      <x:c r="B20" s="19" t="str">
        <x:v>Actual</x:v>
      </x:c>
      <x:c r="C20" s="85" t="n">
        <x:v>21.970000000000002</x:v>
      </x:c>
      <x:c r="D20" s="87" t="n">
        <x:f>'Assumptions &amp; Sources'!$B$11</x:f>
        <x:v>2080</x:v>
      </x:c>
      <x:c r="E20" s="67" t="n">
        <x:f>C20*D20</x:f>
        <x:v>45697.600000000006</x:v>
      </x:c>
      <x:c r="F20" s="30" t="str">
        <x:v>Annual average of 4 quarters</x:v>
      </x:c>
      <x:c r="G20" s="76" t="str">
        <x:v>https://download.bls.gov/pub/time.series/cm/cm.data.1.AllData</x:v>
      </x:c>
    </x:row>
    <x:row r="21">
      <x:c r="A21" s="19" t="n">
        <x:v>2016</x:v>
      </x:c>
      <x:c r="B21" s="19" t="str">
        <x:v>Actual</x:v>
      </x:c>
      <x:c r="C21" s="85" t="n">
        <x:v>22.549999999999997</x:v>
      </x:c>
      <x:c r="D21" s="87" t="n">
        <x:f>'Assumptions &amp; Sources'!$B$11</x:f>
        <x:v>2080</x:v>
      </x:c>
      <x:c r="E21" s="67" t="n">
        <x:f>C21*D21</x:f>
        <x:v>46903.99999999999</x:v>
      </x:c>
      <x:c r="F21" s="30" t="str">
        <x:v>Annual average of 4 quarters</x:v>
      </x:c>
      <x:c r="G21" s="76" t="str">
        <x:v>https://download.bls.gov/pub/time.series/cm/cm.data.1.AllData</x:v>
      </x:c>
    </x:row>
    <x:row r="22">
      <x:c r="A22" s="19" t="n">
        <x:v>2017</x:v>
      </x:c>
      <x:c r="B22" s="19" t="str">
        <x:v>Actual</x:v>
      </x:c>
      <x:c r="C22" s="85" t="n">
        <x:v>23.2575</x:v>
      </x:c>
      <x:c r="D22" s="87" t="n">
        <x:f>'Assumptions &amp; Sources'!$B$11</x:f>
        <x:v>2080</x:v>
      </x:c>
      <x:c r="E22" s="67" t="n">
        <x:f>C22*D22</x:f>
        <x:v>48375.6</x:v>
      </x:c>
      <x:c r="F22" s="30" t="str">
        <x:v>Annual average of 4 quarters</x:v>
      </x:c>
      <x:c r="G22" s="76" t="str">
        <x:v>https://download.bls.gov/pub/time.series/cm/cm.data.1.AllData</x:v>
      </x:c>
    </x:row>
    <x:row r="23">
      <x:c r="A23" s="19" t="n">
        <x:v>2018</x:v>
      </x:c>
      <x:c r="B23" s="19" t="str">
        <x:v>Actual</x:v>
      </x:c>
      <x:c r="C23" s="85" t="n">
        <x:v>23.862500000000004</x:v>
      </x:c>
      <x:c r="D23" s="87" t="n">
        <x:f>'Assumptions &amp; Sources'!$B$11</x:f>
        <x:v>2080</x:v>
      </x:c>
      <x:c r="E23" s="67" t="n">
        <x:f>C23*D23</x:f>
        <x:v>49634.00000000001</x:v>
      </x:c>
      <x:c r="F23" s="30" t="str">
        <x:v>Annual average of 4 quarters</x:v>
      </x:c>
      <x:c r="G23" s="76" t="str">
        <x:v>https://download.bls.gov/pub/time.series/cm/cm.data.1.AllData</x:v>
      </x:c>
    </x:row>
    <x:row r="24">
      <x:c r="A24" s="19" t="n">
        <x:v>2019</x:v>
      </x:c>
      <x:c r="B24" s="19" t="str">
        <x:v>Actual</x:v>
      </x:c>
      <x:c r="C24" s="85" t="n">
        <x:v>24.2625</x:v>
      </x:c>
      <x:c r="D24" s="87" t="n">
        <x:f>'Assumptions &amp; Sources'!$B$11</x:f>
        <x:v>2080</x:v>
      </x:c>
      <x:c r="E24" s="67" t="n">
        <x:f>C24*D24</x:f>
        <x:v>50466</x:v>
      </x:c>
      <x:c r="F24" s="30" t="str">
        <x:v>Annual average of 4 quarters</x:v>
      </x:c>
      <x:c r="G24" s="76" t="str">
        <x:v>https://download.bls.gov/pub/time.series/cm/cm.data.1.AllData</x:v>
      </x:c>
    </x:row>
    <x:row r="25">
      <x:c r="A25" s="19" t="n">
        <x:v>2020</x:v>
      </x:c>
      <x:c r="B25" s="19" t="str">
        <x:v>Actual</x:v>
      </x:c>
      <x:c r="C25" s="85" t="n">
        <x:v>25.177500000000002</x:v>
      </x:c>
      <x:c r="D25" s="87" t="n">
        <x:f>'Assumptions &amp; Sources'!$B$11</x:f>
        <x:v>2080</x:v>
      </x:c>
      <x:c r="E25" s="67" t="n">
        <x:f>C25*D25</x:f>
        <x:v>52369.200000000004</x:v>
      </x:c>
      <x:c r="F25" s="30" t="str">
        <x:v>Annual average of 4 quarters</x:v>
      </x:c>
      <x:c r="G25" s="76" t="str">
        <x:v>https://download.bls.gov/pub/time.series/cm/cm.data.1.AllData</x:v>
      </x:c>
    </x:row>
    <x:row r="26">
      <x:c r="A26" s="19" t="n">
        <x:v>2021</x:v>
      </x:c>
      <x:c r="B26" s="19" t="str">
        <x:v>Actual</x:v>
      </x:c>
      <x:c r="C26" s="85" t="n">
        <x:v>26.2275</x:v>
      </x:c>
      <x:c r="D26" s="87" t="n">
        <x:f>'Assumptions &amp; Sources'!$B$11</x:f>
        <x:v>2080</x:v>
      </x:c>
      <x:c r="E26" s="67" t="n">
        <x:f>C26*D26</x:f>
        <x:v>54553.2</x:v>
      </x:c>
      <x:c r="F26" s="30" t="str">
        <x:v>Annual average of 4 quarters</x:v>
      </x:c>
      <x:c r="G26" s="76" t="str">
        <x:v>https://download.bls.gov/pub/time.series/cm/cm.data.1.AllData</x:v>
      </x:c>
    </x:row>
    <x:row r="27">
      <x:c r="A27" s="19" t="n">
        <x:v>2022</x:v>
      </x:c>
      <x:c r="B27" s="19" t="str">
        <x:v>Actual</x:v>
      </x:c>
      <x:c r="C27" s="85" t="n">
        <x:v>27.7325</x:v>
      </x:c>
      <x:c r="D27" s="87" t="n">
        <x:f>'Assumptions &amp; Sources'!$B$11</x:f>
        <x:v>2080</x:v>
      </x:c>
      <x:c r="E27" s="67" t="n">
        <x:f>C27*D27</x:f>
        <x:v>57683.600000000006</x:v>
      </x:c>
      <x:c r="F27" s="30" t="str">
        <x:v>Annual average of 4 quarters</x:v>
      </x:c>
      <x:c r="G27" s="76" t="str">
        <x:v>https://download.bls.gov/pub/time.series/cm/cm.data.1.AllData</x:v>
      </x:c>
    </x:row>
    <x:row r="28">
      <x:c r="A28" s="19" t="n">
        <x:v>2023</x:v>
      </x:c>
      <x:c r="B28" s="19" t="str">
        <x:v>Actual</x:v>
      </x:c>
      <x:c r="C28" s="85" t="n">
        <x:v>29.35</x:v>
      </x:c>
      <x:c r="D28" s="87" t="n">
        <x:f>'Assumptions &amp; Sources'!$B$11</x:f>
        <x:v>2080</x:v>
      </x:c>
      <x:c r="E28" s="67" t="n">
        <x:f>C28*D28</x:f>
        <x:v>61048</x:v>
      </x:c>
      <x:c r="F28" s="30" t="str">
        <x:v>Annual average of 4 quarters</x:v>
      </x:c>
      <x:c r="G28" s="76" t="str">
        <x:v>https://download.bls.gov/pub/time.series/cm/cm.data.1.AllData</x:v>
      </x:c>
    </x:row>
    <x:row r="29">
      <x:c r="A29" s="19" t="n">
        <x:v>2024</x:v>
      </x:c>
      <x:c r="B29" s="19" t="str">
        <x:v>Actual</x:v>
      </x:c>
      <x:c r="C29" s="85" t="n">
        <x:v>31.095</x:v>
      </x:c>
      <x:c r="D29" s="87" t="n">
        <x:f>'Assumptions &amp; Sources'!$B$11</x:f>
        <x:v>2080</x:v>
      </x:c>
      <x:c r="E29" s="67" t="n">
        <x:f>C29*D29</x:f>
        <x:v>64677.6</x:v>
      </x:c>
      <x:c r="F29" s="30" t="str">
        <x:v>Annual average of 4 quarters</x:v>
      </x:c>
      <x:c r="G29" s="76" t="str">
        <x:v>https://download.bls.gov/pub/time.series/cm/cm.data.1.AllData</x:v>
      </x:c>
    </x:row>
    <x:row r="30">
      <x:c r="A30" s="19" t="n">
        <x:v>2025</x:v>
      </x:c>
      <x:c r="B30" s="19" t="str">
        <x:v>Actual</x:v>
      </x:c>
      <x:c r="C30" s="85" t="n">
        <x:v>32.1725</x:v>
      </x:c>
      <x:c r="D30" s="87" t="n">
        <x:f>'Assumptions &amp; Sources'!$B$11</x:f>
        <x:v>2080</x:v>
      </x:c>
      <x:c r="E30" s="67" t="n">
        <x:f>C30*D30</x:f>
        <x:v>66918.8</x:v>
      </x:c>
      <x:c r="F30" s="30" t="str">
        <x:v>Annual average of 4 quarters</x:v>
      </x:c>
      <x:c r="G30" s="76" t="str">
        <x:v>https://download.bls.gov/pub/time.series/cm/cm.data.1.AllData</x:v>
      </x:c>
    </x:row>
    <x:row r="31">
      <x:c r="A31" s="19" t="n">
        <x:v>2026</x:v>
      </x:c>
      <x:c r="B31" s="19" t="str">
        <x:v>Actual</x:v>
      </x:c>
      <x:c r="C31" s="85" t="n">
        <x:v>32.6</x:v>
      </x:c>
      <x:c r="D31" s="87" t="n">
        <x:f>'Assumptions &amp; Sources'!$B$11</x:f>
        <x:v>2080</x:v>
      </x:c>
      <x:c r="E31" s="67" t="n">
        <x:f>C31*D31</x:f>
        <x:v>67808</x:v>
      </x:c>
      <x:c r="F31" s="30" t="str">
        <x:v>Partial-year: 1 quarter</x:v>
      </x:c>
      <x:c r="G31" s="76" t="str">
        <x:v>https://download.bls.gov/pub/time.series/cm/cm.data.1.AllData</x:v>
      </x:c>
    </x:row>
    <x:row r="32">
      <x:c r="A32" s="70" t="str">
        <x:v>2027F</x:v>
      </x:c>
      <x:c r="B32" s="70" t="str">
        <x:v>Forecast</x:v>
      </x:c>
      <x:c r="C32" s="88" t="n">
        <x:f>C31*(1+'Assumptions &amp; Sources'!$B$18)</x:f>
        <x:v>33.6432</x:v>
      </x:c>
      <x:c r="D32" s="89" t="n">
        <x:f>'Assumptions &amp; Sources'!$B$11</x:f>
        <x:v>2080</x:v>
      </x:c>
      <x:c r="E32" s="72" t="n">
        <x:f>C32*D32</x:f>
        <x:v>69977.856</x:v>
      </x:c>
      <x:c r="F32" s="82" t="str">
        <x:v>Forecast: CBO private-industry wage growth</x:v>
      </x:c>
      <x:c r="G32" s="83" t="str">
        <x:v>https://www.cbo.gov/publication/62105</x:v>
      </x:c>
    </x:row>
  </x:sheetData>
  <x:mergeCells>
    <x:mergeCell ref="A1:G1"/>
    <x:mergeCell ref="A2:G2"/>
  </x:mergeCells>
  <x:pageMargins left="0.7" right="0.7" top="0.75" bottom="0.75" header="0.3" footer="0.3"/>
  <x:tableParts count="1">
    <x:tablePart xmlns:r="http://schemas.openxmlformats.org/officeDocument/2006/relationships" r:id="R6527c2cb4704461c"/>
  </x:tableParts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6" hidden="0" customWidth="1"/>
    <x:col min="3" max="3" width="18" hidden="0" customWidth="1"/>
    <x:col min="4" max="4" width="42" hidden="0" customWidth="1"/>
    <x:col min="5" max="5" width="54" hidden="0" customWidth="1"/>
    <x:col min="6" max="6" width="42" hidden="0" customWidth="1"/>
    <x:col min="8" max="8" width="28" hidden="0" customWidth="1"/>
    <x:col min="9" max="9" width="22" hidden="0" customWidth="1"/>
    <x:col min="10" max="10" width="22" hidden="0" customWidth="1"/>
    <x:col min="11" max="11" width="22" hidden="0" customWidth="1"/>
  </x:cols>
  <x:sheetData>
    <x:row r="1" ht="32" customHeight="1">
      <x:c r="A1" s="3" t="str">
        <x:v>Assumptions, Definitions, and Source Register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34" customHeight="1">
      <x:c r="A2" s="7" t="str">
        <x:v>Yellow cells are explicit assumptions or user controls. Green cells are formulas. URLs are retained as plain text for auditability.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</x:row>
    <x:row r="4">
      <x:c r="H4" s="49" t="str">
        <x:v>Validation Lists (used by Dashboard controls)</x:v>
      </x:c>
      <x:c r="I4" s="49"/>
      <x:c r="J4" s="49"/>
      <x:c r="K4" s="49"/>
    </x:row>
    <x:row r="5" ht="32" customHeight="1">
      <x:c r="A5" s="13" t="str">
        <x:v>Assumption / Definition</x:v>
      </x:c>
      <x:c r="B5" s="13" t="str">
        <x:v>Value</x:v>
      </x:c>
      <x:c r="C5" s="13" t="str">
        <x:v>Unit</x:v>
      </x:c>
      <x:c r="D5" s="13" t="str">
        <x:v>Treatment in Model</x:v>
      </x:c>
      <x:c r="E5" s="13" t="str">
        <x:v>Primary Source</x:v>
      </x:c>
      <x:c r="F5" s="13" t="str">
        <x:v>Status / Limitation</x:v>
      </x:c>
      <x:c r="H5" s="55" t="str">
        <x:v>Series</x:v>
      </x:c>
      <x:c r="I5" s="55" t="str">
        <x:v>GS Basis</x:v>
      </x:c>
      <x:c r="J5" s="55" t="str">
        <x:v>Military Basis</x:v>
      </x:c>
      <x:c r="K5" s="55" t="str">
        <x:v>Toggle</x:v>
      </x:c>
    </x:row>
    <x:row r="6" ht="34" customHeight="1">
      <x:c r="A6" s="25" t="str">
        <x:v>Base year</x:v>
      </x:c>
      <x:c r="B6" s="26" t="n">
        <x:v>2001</x:v>
      </x:c>
      <x:c r="C6" s="27" t="str">
        <x:v>Year</x:v>
      </x:c>
      <x:c r="D6" s="27" t="str">
        <x:v>All selected series index to 100 in 2001.</x:v>
      </x:c>
      <x:c r="E6" s="27" t="str">
        <x:v>Model convention</x:v>
      </x:c>
      <x:c r="F6" s="27" t="str">
        <x:v>Fixed</x:v>
      </x:c>
      <x:c r="H6" s="60" t="str">
        <x:v>GS-7 step 1</x:v>
      </x:c>
      <x:c r="I6" s="60" t="str">
        <x:v>New-hire after FERS</x:v>
      </x:c>
      <x:c r="J6" s="60" t="str">
        <x:v>Taxable-salary equivalent</x:v>
      </x:c>
      <x:c r="K6" s="60" t="str">
        <x:v>Yes</x:v>
      </x:c>
    </x:row>
    <x:row r="7" ht="34" customHeight="1">
      <x:c r="A7" s="28" t="str">
        <x:v>Months per year</x:v>
      </x:c>
      <x:c r="B7" s="29" t="n">
        <x:v>12</x:v>
      </x:c>
      <x:c r="C7" s="30" t="str">
        <x:v>Months</x:v>
      </x:c>
      <x:c r="D7" s="30" t="str">
        <x:v>Monthly military rates × 12.</x:v>
      </x:c>
      <x:c r="E7" s="30" t="str">
        <x:v>Annualization convention</x:v>
      </x:c>
      <x:c r="F7" s="30" t="str">
        <x:v>Fixed</x:v>
      </x:c>
      <x:c r="H7" s="61" t="str">
        <x:v>GS-9 step 1</x:v>
      </x:c>
      <x:c r="I7" s="61" t="str">
        <x:v>Published gross salary</x:v>
      </x:c>
      <x:c r="J7" s="61" t="str">
        <x:v>Total compensation (basic pay + BAH + BAS)</x:v>
      </x:c>
      <x:c r="K7" s="61" t="str">
        <x:v>No</x:v>
      </x:c>
    </x:row>
    <x:row r="8" ht="34" customHeight="1">
      <x:c r="A8" s="28" t="str">
        <x:v>Legacy FERS employee rate</x:v>
      </x:c>
      <x:c r="B8" s="31" t="n">
        <x:v>0.008</x:v>
      </x:c>
      <x:c r="C8" s="30" t="str">
        <x:v>Percent</x:v>
      </x:c>
      <x:c r="D8" s="30" t="str">
        <x:v>Newly covered regular employee through 2012.</x:v>
      </x:c>
      <x:c r="E8" s="30" t="str">
        <x:v>OPM</x:v>
      </x:c>
      <x:c r="F8" s="30" t="str">
        <x:v>Historical cohort rule</x:v>
      </x:c>
      <x:c r="H8" s="61" t="str">
        <x:v>GS-11 step 1</x:v>
      </x:c>
      <x:c r="I8" s="61"/>
      <x:c r="J8" s="61"/>
      <x:c r="K8" s="61"/>
    </x:row>
    <x:row r="9" ht="34" customHeight="1">
      <x:c r="A9" s="28" t="str">
        <x:v>FERS-RAE employee rate</x:v>
      </x:c>
      <x:c r="B9" s="31" t="n">
        <x:v>0.031</x:v>
      </x:c>
      <x:c r="C9" s="30" t="str">
        <x:v>Percent</x:v>
      </x:c>
      <x:c r="D9" s="30" t="str">
        <x:v>Newly covered regular employee in 2013.</x:v>
      </x:c>
      <x:c r="E9" s="30" t="str">
        <x:v>OPM</x:v>
      </x:c>
      <x:c r="F9" s="30" t="str">
        <x:v>Historical cohort rule</x:v>
      </x:c>
      <x:c r="H9" s="61" t="str">
        <x:v>GS-12 step 1</x:v>
      </x:c>
      <x:c r="I9" s="61"/>
      <x:c r="J9" s="61"/>
      <x:c r="K9" s="61"/>
    </x:row>
    <x:row r="10" ht="34" customHeight="1">
      <x:c r="A10" s="28" t="str">
        <x:v>FERS-FRAE employee rate</x:v>
      </x:c>
      <x:c r="B10" s="31" t="n">
        <x:v>0.044</x:v>
      </x:c>
      <x:c r="C10" s="30" t="str">
        <x:v>Percent</x:v>
      </x:c>
      <x:c r="D10" s="30" t="str">
        <x:v>Newly covered regular employee from 2014 forward.</x:v>
      </x:c>
      <x:c r="E10" s="30" t="str">
        <x:v>OPM</x:v>
      </x:c>
      <x:c r="F10" s="30" t="str">
        <x:v>Primary hiring case</x:v>
      </x:c>
      <x:c r="H10" s="61" t="str">
        <x:v>GS-13 step 1</x:v>
      </x:c>
      <x:c r="I10" s="61"/>
      <x:c r="J10" s="61"/>
      <x:c r="K10" s="61"/>
    </x:row>
    <x:row r="11" ht="34" customHeight="1">
      <x:c r="A11" s="28" t="str">
        <x:v>Private annualization hours</x:v>
      </x:c>
      <x:c r="B11" s="29" t="n">
        <x:v>2080</x:v>
      </x:c>
      <x:c r="C11" s="30" t="str">
        <x:v>Hours</x:v>
      </x:c>
      <x:c r="D11" s="30" t="str">
        <x:v>Average hourly wage × 2,080.</x:v>
      </x:c>
      <x:c r="E11" s="30" t="str">
        <x:v>Full-time equivalent convention</x:v>
      </x:c>
      <x:c r="F11" s="30" t="str">
        <x:v>Not an individual salary</x:v>
      </x:c>
      <x:c r="H11" s="61" t="str">
        <x:v>GS-13 step 10</x:v>
      </x:c>
      <x:c r="I11" s="61"/>
      <x:c r="J11" s="61"/>
      <x:c r="K11" s="61"/>
    </x:row>
    <x:row r="12" ht="34" customHeight="1">
      <x:c r="A12" s="28" t="str">
        <x:v>Federal tax-rate assumption</x:v>
      </x:c>
      <x:c r="B12" s="31" t="n">
        <x:f>'Dashboard'!$K$4</x:f>
        <x:v>0.22</x:v>
      </x:c>
      <x:c r="C12" s="30" t="str">
        <x:v>Percent</x:v>
      </x:c>
      <x:c r="D12" s="30" t="str">
        <x:v>Links to the editable Dashboard tax rate.</x:v>
      </x:c>
      <x:c r="E12" s="30" t="str">
        <x:v>Transparent sensitivity assumption</x:v>
      </x:c>
      <x:c r="F12" s="30" t="str">
        <x:v>Federal-only estimate</x:v>
      </x:c>
      <x:c r="H12" s="61" t="str">
        <x:v>GS-14 step 1</x:v>
      </x:c>
      <x:c r="I12" s="61"/>
      <x:c r="J12" s="61"/>
      <x:c r="K12" s="61"/>
    </x:row>
    <x:row r="13" ht="34" customHeight="1">
      <x:c r="A13" s="28" t="str">
        <x:v>2027 GS pay change</x:v>
      </x:c>
      <x:c r="B13" s="31" t="n">
        <x:v>0</x:v>
      </x:c>
      <x:c r="C13" s="30" t="str">
        <x:v>Percent</x:v>
      </x:c>
      <x:c r="D13" s="30" t="str">
        <x:v>2026 Rest of U.S. salary × (1 + rate).</x:v>
      </x:c>
      <x:c r="E13" s="30" t="str">
        <x:v>FY 2027 President's Budget</x:v>
      </x:c>
      <x:c r="F13" s="30" t="str">
        <x:v>Forecast; not enacted</x:v>
      </x:c>
      <x:c r="H13" s="61" t="str">
        <x:v>GS-15 step 1</x:v>
      </x:c>
      <x:c r="I13" s="61"/>
      <x:c r="J13" s="61"/>
      <x:c r="K13" s="61"/>
    </x:row>
    <x:row r="14" ht="34" customHeight="1">
      <x:c r="A14" s="28" t="str">
        <x:v>2027 O-1 through O-3 basic-pay change</x:v>
      </x:c>
      <x:c r="B14" s="31" t="n">
        <x:v>0.06</x:v>
      </x:c>
      <x:c r="C14" s="30" t="str">
        <x:v>Percent</x:v>
      </x:c>
      <x:c r="D14" s="30" t="str">
        <x:v>2026 monthly basic pay × (1 + rate).</x:v>
      </x:c>
      <x:c r="E14" s="30" t="str">
        <x:v>FY 2027 President's Budget, p. 60</x:v>
      </x:c>
      <x:c r="F14" s="30" t="str">
        <x:v>Forecast; not enacted</x:v>
      </x:c>
      <x:c r="H14" s="61" t="str">
        <x:v>GS-15 step 10</x:v>
      </x:c>
      <x:c r="I14" s="61"/>
      <x:c r="J14" s="61"/>
      <x:c r="K14" s="61"/>
    </x:row>
    <x:row r="15" ht="34" customHeight="1">
      <x:c r="A15" s="28" t="str">
        <x:v>2027 O-4 through O-6 basic-pay change</x:v>
      </x:c>
      <x:c r="B15" s="31" t="n">
        <x:v>0.05</x:v>
      </x:c>
      <x:c r="C15" s="30" t="str">
        <x:v>Percent</x:v>
      </x:c>
      <x:c r="D15" s="30" t="str">
        <x:v>2026 monthly basic pay × (1 + rate).</x:v>
      </x:c>
      <x:c r="E15" s="30" t="str">
        <x:v>FY 2027 President's Budget, p. 60</x:v>
      </x:c>
      <x:c r="F15" s="30" t="str">
        <x:v>Forecast; not enacted</x:v>
      </x:c>
      <x:c r="H15" s="61" t="str">
        <x:v>O-1</x:v>
      </x:c>
      <x:c r="I15" s="61"/>
      <x:c r="J15" s="61"/>
      <x:c r="K15" s="61"/>
    </x:row>
    <x:row r="16" ht="34" customHeight="1">
      <x:c r="A16" s="28" t="str">
        <x:v>2027 Hill AFB BAH change</x:v>
      </x:c>
      <x:c r="B16" s="31" t="n">
        <x:v>0</x:v>
      </x:c>
      <x:c r="C16" s="30" t="str">
        <x:v>Percent</x:v>
      </x:c>
      <x:c r="D16" s="30" t="str">
        <x:v>2026 monthly Hill BAH held flat.</x:v>
      </x:c>
      <x:c r="E16" s="30" t="str">
        <x:v>Model assumption</x:v>
      </x:c>
      <x:c r="F16" s="30" t="str">
        <x:v>Official 2027 rate unavailable</x:v>
      </x:c>
      <x:c r="H16" s="61" t="str">
        <x:v>O-2</x:v>
      </x:c>
      <x:c r="I16" s="61"/>
      <x:c r="J16" s="61"/>
      <x:c r="K16" s="61"/>
    </x:row>
    <x:row r="17" ht="34" customHeight="1">
      <x:c r="A17" s="28" t="str">
        <x:v>2027 officer BAS change</x:v>
      </x:c>
      <x:c r="B17" s="31" t="n">
        <x:v>0</x:v>
      </x:c>
      <x:c r="C17" s="30" t="str">
        <x:v>Percent</x:v>
      </x:c>
      <x:c r="D17" s="30" t="str">
        <x:v>2026 monthly officer BAS held flat.</x:v>
      </x:c>
      <x:c r="E17" s="30" t="str">
        <x:v>Model assumption</x:v>
      </x:c>
      <x:c r="F17" s="30" t="str">
        <x:v>Official 2027 rate unavailable</x:v>
      </x:c>
      <x:c r="H17" s="61" t="str">
        <x:v>O-3</x:v>
      </x:c>
      <x:c r="I17" s="61"/>
      <x:c r="J17" s="61"/>
      <x:c r="K17" s="61"/>
    </x:row>
    <x:row r="18" ht="34" customHeight="1">
      <x:c r="A18" s="28" t="str">
        <x:v>2027 private average-wage change</x:v>
      </x:c>
      <x:c r="B18" s="31" t="n">
        <x:v>0.032</x:v>
      </x:c>
      <x:c r="C18" s="30" t="str">
        <x:v>Percent</x:v>
      </x:c>
      <x:c r="D18" s="30" t="str">
        <x:v>2026 hourly wage × (1 + rate).</x:v>
      </x:c>
      <x:c r="E18" s="30" t="str">
        <x:v>CBO private-industry ECI forecast</x:v>
      </x:c>
      <x:c r="F18" s="30" t="str">
        <x:v>Forecast</x:v>
      </x:c>
      <x:c r="H18" s="61" t="str">
        <x:v>O-4</x:v>
      </x:c>
      <x:c r="I18" s="61"/>
      <x:c r="J18" s="61"/>
      <x:c r="K18" s="61"/>
    </x:row>
    <x:row r="19">
      <x:c r="H19" s="61" t="str">
        <x:v>O-5</x:v>
      </x:c>
      <x:c r="I19" s="61"/>
      <x:c r="J19" s="61"/>
      <x:c r="K19" s="61"/>
    </x:row>
    <x:row r="20">
      <x:c r="H20" s="61" t="str">
        <x:v>O-6</x:v>
      </x:c>
      <x:c r="I20" s="61"/>
      <x:c r="J20" s="61"/>
      <x:c r="K20" s="61"/>
    </x:row>
    <x:row r="21">
      <x:c r="A21" s="32" t="str">
        <x:v>Source Register</x:v>
      </x:c>
      <x:c r="B21" s="32"/>
      <x:c r="C21" s="32"/>
      <x:c r="D21" s="32"/>
      <x:c r="E21" s="32"/>
      <x:c r="F21" s="32"/>
      <x:c r="H21" s="61" t="str">
        <x:v>Average private wage</x:v>
      </x:c>
      <x:c r="I21" s="61"/>
      <x:c r="J21" s="61"/>
      <x:c r="K21" s="61"/>
    </x:row>
    <x:row r="22" ht="32" customHeight="1">
      <x:c r="A22" s="37" t="str">
        <x:v>Source ID</x:v>
      </x:c>
      <x:c r="B22" s="37" t="str">
        <x:v>Agency</x:v>
      </x:c>
      <x:c r="C22" s="37" t="str">
        <x:v>Dataset / Purpose</x:v>
      </x:c>
      <x:c r="D22" s="37" t="str">
        <x:v>Coverage</x:v>
      </x:c>
      <x:c r="E22" s="37" t="str">
        <x:v>URL</x:v>
      </x:c>
      <x:c r="F22" s="37" t="str">
        <x:v>Important Note</x:v>
      </x:c>
    </x:row>
    <x:row r="23" ht="44" customHeight="1">
      <x:c r="A23" s="27" t="str">
        <x:v>OPM-GS</x:v>
      </x:c>
      <x:c r="B23" s="27" t="str">
        <x:v>OPM</x:v>
      </x:c>
      <x:c r="C23" s="27" t="str">
        <x:v>Rest of U.S. GS salary tables</x:v>
      </x:c>
      <x:c r="D23" s="27" t="str">
        <x:v>2001–2026</x:v>
      </x:c>
      <x:c r="E23" s="38" t="str">
        <x:v>https://www.opm.gov/policy-data-oversight/pay-leave/salaries-wages/</x:v>
      </x:c>
      <x:c r="F23" s="27" t="str">
        <x:v>Published salary includes Rest of U.S. locality; per-year links remain on GS Source.</x:v>
      </x:c>
    </x:row>
    <x:row r="24" ht="44" customHeight="1">
      <x:c r="A24" s="30" t="str">
        <x:v>FERS-RATES</x:v>
      </x:c>
      <x:c r="B24" s="30" t="str">
        <x:v>OPM</x:v>
      </x:c>
      <x:c r="C24" s="30" t="str">
        <x:v>Regular FERS employee contribution cohorts</x:v>
      </x:c>
      <x:c r="D24" s="30" t="str">
        <x:v>Current</x:v>
      </x:c>
      <x:c r="E24" s="39" t="str">
        <x:v>https://www.opm.gov/about-us/reports-publications/agency-plans/2024-congressional-budget-justification/earned-benefits-trust-funds/</x:v>
      </x:c>
      <x:c r="F24" s="30" t="str">
        <x:v>0.8%, 3.1%, and 4.4% regular-employee rates.</x:v>
      </x:c>
    </x:row>
    <x:row r="25" ht="44" customHeight="1">
      <x:c r="A25" s="30" t="str">
        <x:v>DFAS-PAY</x:v>
      </x:c>
      <x:c r="B25" s="30" t="str">
        <x:v>DFAS</x:v>
      </x:c>
      <x:c r="C25" s="30" t="str">
        <x:v>Commissioned-officer monthly basic-pay tables</x:v>
      </x:c>
      <x:c r="D25" s="30" t="str">
        <x:v>2001–2026</x:v>
      </x:c>
      <x:c r="E25" s="39" t="str">
        <x:v>https://www.dfas.mil/militarymembers/payentitlements/Pay-Tables/PayTableArchives/</x:v>
      </x:c>
      <x:c r="F25" s="30" t="str">
        <x:v>Representative grade and service points; monthly rate × 12.</x:v>
      </x:c>
    </x:row>
    <x:row r="26" ht="44" customHeight="1">
      <x:c r="A26" s="30" t="str">
        <x:v>DTMO-BAH</x:v>
      </x:c>
      <x:c r="B26" s="30" t="str">
        <x:v>DoD / DTMO</x:v>
      </x:c>
      <x:c r="C26" s="30" t="str">
        <x:v>Official BAH current and historical lookup</x:v>
      </x:c>
      <x:c r="D26" s="30" t="str">
        <x:v>2001–2026</x:v>
      </x:c>
      <x:c r="E26" s="39" t="str">
        <x:v>https://www.travel.dod.mil/Allowances/Basic-Allowance-for-Housing/BAH-Rate-Lookup/</x:v>
      </x:c>
      <x:c r="F26" s="30" t="str">
        <x:v>Every row records year, ZIP 84056, pay grade, and with-dependents query; monthly rate × 12.</x:v>
      </x:c>
    </x:row>
    <x:row r="27" ht="44" customHeight="1">
      <x:c r="A27" s="30" t="str">
        <x:v>DFAS-BAS</x:v>
      </x:c>
      <x:c r="B27" s="30" t="str">
        <x:v>DFAS</x:v>
      </x:c>
      <x:c r="C27" s="30" t="str">
        <x:v>Officer BAS monthly rates</x:v>
      </x:c>
      <x:c r="D27" s="30" t="str">
        <x:v>2001–2026</x:v>
      </x:c>
      <x:c r="E27" s="39" t="str">
        <x:v>https://www.dfas.mil/militarymembers/payentitlements/Pay-Tables/bas/</x:v>
      </x:c>
      <x:c r="F27" s="30" t="str">
        <x:v>Same officer BAS rate across the six profiles; monthly rate × 12.</x:v>
      </x:c>
    </x:row>
    <x:row r="28" ht="44" customHeight="1">
      <x:c r="A28" s="30" t="str">
        <x:v>DOD-TAX</x:v>
      </x:c>
      <x:c r="B28" s="30" t="str">
        <x:v>DoD</x:v>
      </x:c>
      <x:c r="C28" s="30" t="str">
        <x:v>Tax-exempt allowance treatment</x:v>
      </x:c>
      <x:c r="D28" s="30" t="str">
        <x:v>Current</x:v>
      </x:c>
      <x:c r="E28" s="39" t="str">
        <x:v>https://militarypay.defense.gov/Pay/Tax-Information/Exempt/</x:v>
      </x:c>
      <x:c r="F28" s="30" t="str">
        <x:v>BAH and BAS are the principal allowances modeled; both are excluded from federal income tax and Social Security tax.</x:v>
      </x:c>
    </x:row>
    <x:row r="29" ht="44" customHeight="1">
      <x:c r="A29" s="30" t="str">
        <x:v>DOD-RMC</x:v>
      </x:c>
      <x:c r="B29" s="30" t="str">
        <x:v>DoD</x:v>
      </x:c>
      <x:c r="C29" s="30" t="str">
        <x:v>Federal income-tax advantage concept</x:v>
      </x:c>
      <x:c r="D29" s="30" t="str">
        <x:v>Current</x:v>
      </x:c>
      <x:c r="E29" s="39" t="str">
        <x:v>https://militarypay.defense.gov/calculators/rmc-calculator/</x:v>
      </x:c>
      <x:c r="F29" s="30" t="str">
        <x:v>Workbook uses a transparent federal gross-up sensitivity, not an individualized RMC calculation.</x:v>
      </x:c>
    </x:row>
    <x:row r="30" ht="44" customHeight="1">
      <x:c r="A30" s="30" t="str">
        <x:v>BLS-ECEC</x:v>
      </x:c>
      <x:c r="B30" s="30" t="str">
        <x:v>BLS</x:v>
      </x:c>
      <x:c r="C30" s="30" t="str">
        <x:v>Average employer wage-and-salary cost per employee hour</x:v>
      </x:c>
      <x:c r="D30" s="30" t="str">
        <x:v>2001–2026</x:v>
      </x:c>
      <x:c r="E30" s="39" t="str">
        <x:v>https://download.bls.gov/pub/time.series/cm/cm.data.1.AllData</x:v>
      </x:c>
      <x:c r="F30" s="30" t="str">
        <x:v>Annualized at 2,080 hours; 2026 is Q1 only.</x:v>
      </x:c>
    </x:row>
    <x:row r="31" ht="44" customHeight="1">
      <x:c r="A31" s="30" t="str">
        <x:v>OMB-PB27</x:v>
      </x:c>
      <x:c r="B31" s="30" t="str">
        <x:v>White House / OMB</x:v>
      </x:c>
      <x:c r="C31" s="30" t="str">
        <x:v>FY 2027 President's Budget pay policy</x:v>
      </x:c>
      <x:c r="D31" s="30" t="str">
        <x:v>2027F</x:v>
      </x:c>
      <x:c r="E31" s="39" t="str">
        <x:v>https://www.whitehouse.gov/wp-content/uploads/2026/04/budget_fy2027.pdf</x:v>
      </x:c>
      <x:c r="F31" s="30" t="str">
        <x:v>0% GS; 6% O-1 through O-3; 5% O-4 and above.</x:v>
      </x:c>
    </x:row>
    <x:row r="32" ht="44" customHeight="1">
      <x:c r="A32" s="30" t="str">
        <x:v>CBO-WAGE27</x:v>
      </x:c>
      <x:c r="B32" s="30" t="str">
        <x:v>CBO</x:v>
      </x:c>
      <x:c r="C32" s="30" t="str">
        <x:v>Private-industry wage forecast</x:v>
      </x:c>
      <x:c r="D32" s="30" t="str">
        <x:v>2027F</x:v>
      </x:c>
      <x:c r="E32" s="39" t="str">
        <x:v>https://www.cbo.gov/publication/62105</x:v>
      </x:c>
      <x:c r="F32" s="30" t="str">
        <x:v>3.2% growth; separate from the President's Budget.</x:v>
      </x:c>
    </x:row>
    <x:row r="33">
      <x:c r="A33" t="str">
        <x:v>SSA-OASDI-BASE</x:v>
      </x:c>
      <x:c r="B33" t="str">
        <x:v>SSA</x:v>
      </x:c>
      <x:c r="C33" t="str">
        <x:v>Social Security taxable maximum</x:v>
      </x:c>
      <x:c r="D33" t="str">
        <x:v>2001–2026</x:v>
      </x:c>
      <x:c r="E33" t="str">
        <x:v>https://www.ssa.gov/oact/cola/cbb.html</x:v>
      </x:c>
      <x:c r="F33" t="str">
        <x:v>Employee tax applies only through the annual wage base.</x:v>
      </x:c>
    </x:row>
    <x:row r="34">
      <x:c r="A34" t="str">
        <x:v>SSA-OASDI-RATES</x:v>
      </x:c>
      <x:c r="B34" t="str">
        <x:v>SSA</x:v>
      </x:c>
      <x:c r="C34" t="str">
        <x:v>Employee Social Security tax rates</x:v>
      </x:c>
      <x:c r="D34" t="str">
        <x:v>2001–2026</x:v>
      </x:c>
      <x:c r="E34" t="str">
        <x:v>https://www.ssa.gov/oact/progdata/taxRates.html</x:v>
      </x:c>
      <x:c r="F34" t="str">
        <x:v>6.2% generally; temporary 4.2% employee rate in 2011–2012.</x:v>
      </x:c>
    </x:row>
    <x:row r="35" ht="32" customHeight="1">
      <x:c r="A35" s="37" t="str">
        <x:v>Measure</x:v>
      </x:c>
      <x:c r="B35" s="37" t="str">
        <x:v>Formula</x:v>
      </x:c>
      <x:c r="C35" s="37" t="str">
        <x:v>Interpretation</x:v>
      </x:c>
      <x:c r="D35" s="37" t="str">
        <x:v>Baseline</x:v>
      </x:c>
      <x:c r="E35" s="37" t="str">
        <x:v>Direction</x:v>
      </x:c>
      <x:c r="F35" s="37" t="str">
        <x:v>Caution</x:v>
      </x:c>
    </x:row>
    <x:row r="36" ht="44" customHeight="1">
      <x:c r="A36" s="46" t="str">
        <x:v>GS after new-hire FERS</x:v>
      </x:c>
      <x:c r="B36" s="46" t="str">
        <x:v>= Gross Rest of U.S. salary × (1 − applicable new-hire FERS rate)</x:v>
      </x:c>
      <x:c r="C36" s="46" t="str">
        <x:v>Employee-side amount after the mandatory pension contribution.</x:v>
      </x:c>
      <x:c r="D36" s="46" t="str">
        <x:v>Hire-year cohort</x:v>
      </x:c>
      <x:c r="E36" s="46" t="str">
        <x:v>Higher = more remaining pay</x:v>
      </x:c>
      <x:c r="F36" s="46" t="str">
        <x:v>Not take-home pay; other taxes and deductions excluded.</x:v>
      </x:c>
    </x:row>
    <x:row r="37" ht="44" customHeight="1">
      <x:c r="A37" s="47" t="str">
        <x:v>Military annual basic pay</x:v>
      </x:c>
      <x:c r="B37" s="47" t="str">
        <x:v>= Monthly basic pay × 12</x:v>
      </x:c>
      <x:c r="C37" s="47" t="str">
        <x:v>Annualizes the selected DFAS pay-table cell.</x:v>
      </x:c>
      <x:c r="D37" s="47" t="str">
        <x:v>Calendar year</x:v>
      </x:c>
      <x:c r="E37" s="47" t="str">
        <x:v>Higher = more taxable pay</x:v>
      </x:c>
      <x:c r="F37" s="47" t="str">
        <x:v>Special pays excluded.</x:v>
      </x:c>
    </x:row>
    <x:row r="38" ht="44" customHeight="1">
      <x:c r="A38" s="47" t="str">
        <x:v>Military annual BAH</x:v>
      </x:c>
      <x:c r="B38" s="47" t="str">
        <x:v>= Monthly Hill AFB BAH × 12</x:v>
      </x:c>
      <x:c r="C38" s="47" t="str">
        <x:v>Annualizes the official ZIP 84056 with-dependents rate.</x:v>
      </x:c>
      <x:c r="D38" s="47" t="str">
        <x:v>Calendar year</x:v>
      </x:c>
      <x:c r="E38" s="47" t="str">
        <x:v>Higher = more tax-exempt allowance</x:v>
      </x:c>
      <x:c r="F38" s="47" t="str">
        <x:v>Location and dependency specific.</x:v>
      </x:c>
    </x:row>
    <x:row r="39" ht="44" customHeight="1">
      <x:c r="A39" s="47" t="str">
        <x:v>Military total compensation</x:v>
      </x:c>
      <x:c r="B39" s="47" t="str">
        <x:v>= Annual basic pay + annual BAH + annual BAS</x:v>
      </x:c>
      <x:c r="C39" s="47" t="str">
        <x:v>Three recurring pay-and-allowance components.</x:v>
      </x:c>
      <x:c r="D39" s="47" t="str">
        <x:v>Calendar year</x:v>
      </x:c>
      <x:c r="E39" s="47" t="str">
        <x:v>Higher = more dollars</x:v>
      </x:c>
      <x:c r="F39" s="47" t="str">
        <x:v>Healthcare, retirement, and special pays excluded.</x:v>
      </x:c>
    </x:row>
    <x:row r="40" ht="44" customHeight="1">
      <x:c r="A40" s="47" t="str">
        <x:v>Estimated federal tax advantage</x:v>
      </x:c>
      <x:c r="B40" s="47" t="str">
        <x:v>= (BAH + BAS) × tax rate ÷ (1 − tax rate)</x:v>
      </x:c>
      <x:c r="C40" s="47" t="str">
        <x:v>Additional taxable salary estimated to equal the federal after-tax value.</x:v>
      </x:c>
      <x:c r="D40" s="47" t="str">
        <x:v>Editable tax assumption</x:v>
      </x:c>
      <x:c r="E40" s="47" t="str">
        <x:v>Higher = larger estimated advantage</x:v>
      </x:c>
      <x:c r="F40" s="47" t="str">
        <x:v>Sensitivity, not individualized tax advice.</x:v>
      </x:c>
    </x:row>
    <x:row r="41" ht="44" customHeight="1">
      <x:c r="A41" s="47" t="str">
        <x:v>Taxable-salary equivalent</x:v>
      </x:c>
      <x:c r="B41" s="47" t="str">
        <x:v>= Military total compensation + estimated federal tax advantage</x:v>
      </x:c>
      <x:c r="C41" s="47" t="str">
        <x:v>Primary military valuation when that Dashboard basis is selected.</x:v>
      </x:c>
      <x:c r="D41" s="47" t="str">
        <x:v>Calendar year</x:v>
      </x:c>
      <x:c r="E41" s="47" t="str">
        <x:v>Higher = greater modeled value</x:v>
      </x:c>
      <x:c r="F41" s="47" t="str">
        <x:v>Federal-only tax gross-up.</x:v>
      </x:c>
    </x:row>
    <x:row r="42" ht="44" customHeight="1">
      <x:c r="A42" s="47" t="str">
        <x:v>Private annual equivalent</x:v>
      </x:c>
      <x:c r="B42" s="47" t="str">
        <x:v>= Average hourly wage × 2,080</x:v>
      </x:c>
      <x:c r="C42" s="47" t="str">
        <x:v>Full-time annual equivalent of the BLS average wage cost.</x:v>
      </x:c>
      <x:c r="D42" s="47" t="str">
        <x:v>Calendar year</x:v>
      </x:c>
      <x:c r="E42" s="47" t="str">
        <x:v>Higher = greater wage growth</x:v>
      </x:c>
      <x:c r="F42" s="47" t="str">
        <x:v>Not an individual salary.</x:v>
      </x:c>
    </x:row>
    <x:row r="43" ht="44" customHeight="1">
      <x:c r="A43" s="47" t="str">
        <x:v>2001 index</x:v>
      </x:c>
      <x:c r="B43" s="47" t="str">
        <x:v>= Current selected-basis value ÷ 2001 selected-basis value × 100</x:v>
      </x:c>
      <x:c r="C43" s="47" t="str">
        <x:v>Normalizes every series to 100 in 2001.</x:v>
      </x:c>
      <x:c r="D43" s="47" t="str">
        <x:v>2001 = 100</x:v>
      </x:c>
      <x:c r="E43" s="47" t="str">
        <x:v>Higher = more cumulative growth</x:v>
      </x:c>
      <x:c r="F43" s="47" t="str">
        <x:v>Nominal then-year dollars.</x:v>
      </x:c>
    </x:row>
    <x:row r="44" ht="44" customHeight="1">
      <x:c r="A44" s="47" t="str">
        <x:v>Parity gap</x:v>
      </x:c>
      <x:c r="B44" s="47" t="str">
        <x:v>= Comparator index ÷ selected baseline index − 1</x:v>
      </x:c>
      <x:c r="C44" s="47" t="str">
        <x:v>Percent increase the baseline needs to match the comparator's growth since 2001.</x:v>
      </x:c>
      <x:c r="D44" s="47" t="str">
        <x:v>Selected baseline</x:v>
      </x:c>
      <x:c r="E44" s="47" t="str">
        <x:v>Positive = baseline behind</x:v>
      </x:c>
      <x:c r="F44" s="47" t="str">
        <x:v>Growth parity, not equal-dollar pay.</x:v>
      </x:c>
    </x:row>
    <x:row r="45">
      <x:c r="A45" s="505" t="str">
        <x:v>Employee Social Security tax</x:v>
      </x:c>
      <x:c r="B45" s="338" t="str">
        <x:v>= MIN(covered earnings, annual taxable maximum) × employee OASDI rate</x:v>
      </x:c>
      <x:c r="C45" s="338" t="str">
        <x:v>Employee OASDI deduction used in the website.</x:v>
      </x:c>
      <x:c r="D45" s="338" t="str">
        <x:v>Calendar year</x:v>
      </x:c>
      <x:c r="E45" s="338" t="str">
        <x:v>Higher = larger deduction</x:v>
      </x:c>
      <x:c r="F45" s="338" t="str">
        <x:v>Medicare tax is excluded from this model.</x:v>
      </x:c>
    </x:row>
    <x:row r="46">
      <x:c r="A46" s="505" t="str">
        <x:v>Military covered earnings</x:v>
      </x:c>
      <x:c r="B46" s="338" t="str">
        <x:v>= Annual basic pay; BAH and BAS excluded</x:v>
      </x:c>
      <x:c r="C46" s="338" t="str">
        <x:v>Applies the DoD tax treatment to recurring compensation.</x:v>
      </x:c>
      <x:c r="D46" s="338" t="str">
        <x:v>Calendar year</x:v>
      </x:c>
      <x:c r="E46" s="338" t="str">
        <x:v>Lower covered earnings can reduce OASDI tax</x:v>
      </x:c>
      <x:c r="F46" s="338" t="str">
        <x:v>Special pays are outside this comparison.</x:v>
      </x:c>
    </x:row>
  </x:sheetData>
  <x:mergeCells>
    <x:mergeCell ref="A1:K1"/>
    <x:mergeCell ref="A2:K2"/>
    <x:mergeCell ref="A21:F21"/>
    <x:mergeCell ref="H4:K4"/>
  </x:mergeCells>
  <x:pageMargins left="0.7" right="0.7" top="0.75" bottom="0.75" header="0.3" footer="0.3"/>
  <x:tableParts count="2">
    <x:tablePart xmlns:r="http://schemas.openxmlformats.org/officeDocument/2006/relationships" r:id="R4245b766794d4132"/>
    <x:tablePart xmlns:r="http://schemas.openxmlformats.org/officeDocument/2006/relationships" r:id="R1ca5241a7e3c40c4"/>
  </x:tableParts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0" hidden="0" customWidth="1"/>
    <x:col min="2" max="2" width="18" hidden="0" customWidth="1"/>
    <x:col min="3" max="3" width="18" hidden="0" customWidth="1"/>
    <x:col min="4" max="4" width="12" hidden="0" customWidth="1"/>
    <x:col min="5" max="5" width="18" hidden="0" customWidth="1"/>
    <x:col min="6" max="6" width="34" hidden="0" customWidth="1"/>
  </x:cols>
  <x:sheetData>
    <x:row r="1" ht="32" customHeight="1">
      <x:c r="A1" s="3" t="str">
        <x:v>Quality-Assurance Checks</x:v>
      </x:c>
      <x:c r="B1" s="3"/>
      <x:c r="C1" s="3"/>
      <x:c r="D1" s="3"/>
      <x:c r="E1" s="3"/>
      <x:c r="F1" s="3"/>
    </x:row>
    <x:row r="2" ht="34" customHeight="1">
      <x:c r="A2" s="7" t="str">
        <x:v>All source coverage, annualization, control, forecast, index, parity, and known-value checks must pass before release.</x:v>
      </x:c>
      <x:c r="B2" s="7"/>
      <x:c r="C2" s="7"/>
      <x:c r="D2" s="7"/>
      <x:c r="E2" s="7"/>
      <x:c r="F2" s="7"/>
    </x:row>
    <x:row r="5" ht="32" customHeight="1">
      <x:c r="A5" s="13" t="str">
        <x:v>Check</x:v>
      </x:c>
      <x:c r="B5" s="13" t="str">
        <x:v>Actual</x:v>
      </x:c>
      <x:c r="C5" s="13" t="str">
        <x:v>Expected</x:v>
      </x:c>
      <x:c r="D5" s="13" t="str">
        <x:v>Status</x:v>
      </x:c>
      <x:c r="E5" s="13" t="str">
        <x:v>Scope</x:v>
      </x:c>
      <x:c r="F5" s="13" t="str">
        <x:v>Note</x:v>
      </x:c>
    </x:row>
    <x:row r="6">
      <x:c r="A6" s="18" t="str">
        <x:v>27 annual observations</x:v>
      </x:c>
      <x:c r="B6" s="204" t="n">
        <x:f>COUNTA('Annual Values'!$A$6:$A$32)</x:f>
        <x:v>27</x:v>
      </x:c>
      <x:c r="C6" s="204" t="n">
        <x:v>27</x:v>
      </x:c>
      <x:c r="D6" s="18" t="str">
        <x:f>IF(ABS(B6-C6)&lt;0.0001,"PASS","FAIL")</x:f>
        <x:v>PASS</x:v>
      </x:c>
      <x:c r="E6" s="18" t="str">
        <x:v>Coverage</x:v>
      </x:c>
      <x:c r="F6" s="18" t="str">
        <x:v>2001–2026 plus 2027F</x:v>
      </x:c>
    </x:row>
    <x:row r="7">
      <x:c r="A7" s="19" t="str">
        <x:v>16 comparison series</x:v>
      </x:c>
      <x:c r="B7" s="205" t="n">
        <x:f>COUNTA('Annual Values'!$C$5:$R$5)</x:f>
        <x:v>16</x:v>
      </x:c>
      <x:c r="C7" s="205" t="n">
        <x:v>16</x:v>
      </x:c>
      <x:c r="D7" s="19" t="str">
        <x:f>IF(ABS(B7-C7)&lt;0.0001,"PASS","FAIL")</x:f>
        <x:v>PASS</x:v>
      </x:c>
      <x:c r="E7" s="19" t="str">
        <x:v>Coverage</x:v>
      </x:c>
      <x:c r="F7" s="19" t="str">
        <x:v>9 GS + 6 officer + private wage</x:v>
      </x:c>
    </x:row>
    <x:row r="8">
      <x:c r="A8" s="19" t="str">
        <x:v>234 historical GS source cells</x:v>
      </x:c>
      <x:c r="B8" s="205" t="n">
        <x:f>COUNT('GS Source'!$D$6:$U$31)/2</x:f>
        <x:v>234</x:v>
      </x:c>
      <x:c r="C8" s="205" t="n">
        <x:v>234</x:v>
      </x:c>
      <x:c r="D8" s="19" t="str">
        <x:f>IF(ABS(B8-C8)&lt;0.0001,"PASS","FAIL")</x:f>
        <x:v>PASS</x:v>
      </x:c>
      <x:c r="E8" s="19" t="str">
        <x:v>GS source</x:v>
      </x:c>
      <x:c r="F8" s="19" t="str">
        <x:v>26 years × 9 profiles</x:v>
      </x:c>
    </x:row>
    <x:row r="9">
      <x:c r="A9" s="19" t="str">
        <x:v>162 military detail rows</x:v>
      </x:c>
      <x:c r="B9" s="205" t="n">
        <x:f>COUNTA('Military Detail'!$A$6:$A$167)</x:f>
        <x:v>162</x:v>
      </x:c>
      <x:c r="C9" s="205" t="n">
        <x:v>162</x:v>
      </x:c>
      <x:c r="D9" s="19" t="str">
        <x:f>IF(ABS(B9-C9)&lt;0.0001,"PASS","FAIL")</x:f>
        <x:v>PASS</x:v>
      </x:c>
      <x:c r="E9" s="19" t="str">
        <x:v>Military source</x:v>
      </x:c>
      <x:c r="F9" s="19" t="str">
        <x:v>27 years × 6 profiles</x:v>
      </x:c>
    </x:row>
    <x:row r="10">
      <x:c r="A10" s="19" t="str">
        <x:v>156 historical BAH query rows</x:v>
      </x:c>
      <x:c r="B10" s="205" t="n">
        <x:f>COUNTIF('Military Detail'!$B$6:$B$167,"Actual")</x:f>
        <x:v>156</x:v>
      </x:c>
      <x:c r="C10" s="205" t="n">
        <x:v>156</x:v>
      </x:c>
      <x:c r="D10" s="19" t="str">
        <x:f>IF(ABS(B10-C10)&lt;0.0001,"PASS","FAIL")</x:f>
        <x:v>PASS</x:v>
      </x:c>
      <x:c r="E10" s="19" t="str">
        <x:v>BAH source</x:v>
      </x:c>
      <x:c r="F10" s="19" t="str">
        <x:v>26 years × 6 profiles</x:v>
      </x:c>
    </x:row>
    <x:row r="11">
      <x:c r="A11" s="19" t="str">
        <x:v>All 2001 indexes equal 100</x:v>
      </x:c>
      <x:c r="B11" s="205" t="n">
        <x:f>MAX(ABS('Indexed Growth'!C$6-100),ABS('Indexed Growth'!D$6-100),ABS('Indexed Growth'!E$6-100),ABS('Indexed Growth'!F$6-100),ABS('Indexed Growth'!G$6-100),ABS('Indexed Growth'!H$6-100),ABS('Indexed Growth'!I$6-100),ABS('Indexed Growth'!J$6-100),ABS('Indexed Growth'!K$6-100),ABS('Indexed Growth'!L$6-100),ABS('Indexed Growth'!M$6-100),ABS('Indexed Growth'!N$6-100),ABS('Indexed Growth'!O$6-100),ABS('Indexed Growth'!P$6-100),ABS('Indexed Growth'!Q$6-100),ABS('Indexed Growth'!R$6-100))</x:f>
        <x:v>0</x:v>
      </x:c>
      <x:c r="C11" s="205" t="n">
        <x:v>0</x:v>
      </x:c>
      <x:c r="D11" s="19" t="str">
        <x:f>IF(ABS(B11-C11)&lt;0.0001,"PASS","FAIL")</x:f>
        <x:v>PASS</x:v>
      </x:c>
      <x:c r="E11" s="19" t="str">
        <x:v>Index</x:v>
      </x:c>
      <x:c r="F11" s="19" t="str">
        <x:v>Base-year control</x:v>
      </x:c>
    </x:row>
    <x:row r="12">
      <x:c r="A12" s="19" t="str">
        <x:v>All 2001 parity gaps equal 0</x:v>
      </x:c>
      <x:c r="B12" s="205" t="n">
        <x:f>MAX(ABS('Parity Gaps'!C$6),ABS('Parity Gaps'!D$6),ABS('Parity Gaps'!E$6),ABS('Parity Gaps'!F$6),ABS('Parity Gaps'!G$6),ABS('Parity Gaps'!H$6),ABS('Parity Gaps'!I$6),ABS('Parity Gaps'!J$6),ABS('Parity Gaps'!K$6),ABS('Parity Gaps'!L$6),ABS('Parity Gaps'!M$6),ABS('Parity Gaps'!N$6),ABS('Parity Gaps'!O$6),ABS('Parity Gaps'!P$6),ABS('Parity Gaps'!Q$6),ABS('Parity Gaps'!R$6))</x:f>
        <x:v>0</x:v>
      </x:c>
      <x:c r="C12" s="205" t="n">
        <x:v>0</x:v>
      </x:c>
      <x:c r="D12" s="19" t="str">
        <x:f>IF(ABS(B12-C12)&lt;0.0001,"PASS","FAIL")</x:f>
        <x:v>PASS</x:v>
      </x:c>
      <x:c r="E12" s="19" t="str">
        <x:v>Parity</x:v>
      </x:c>
      <x:c r="F12" s="19" t="str">
        <x:v>Base-year control</x:v>
      </x:c>
    </x:row>
    <x:row r="13">
      <x:c r="A13" s="19" t="str">
        <x:v>At least one valid selected series</x:v>
      </x:c>
      <x:c r="B13" s="205" t="n">
        <x:f>IF(AND(COUNTIF('Dashboard'!$C$6:$C$21,"Yes")&gt;=1,COUNTIF('Dashboard'!$C$6:$C$21,"Yes")&lt;=16),1,0)</x:f>
        <x:v>1</x:v>
      </x:c>
      <x:c r="C13" s="205" t="n">
        <x:v>1</x:v>
      </x:c>
      <x:c r="D13" s="19" t="str">
        <x:f>IF(ABS(B13-C13)&lt;0.0001,"PASS","FAIL")</x:f>
        <x:v>PASS</x:v>
      </x:c>
      <x:c r="E13" s="19" t="str">
        <x:v>Controls</x:v>
      </x:c>
      <x:c r="F13" s="19" t="str">
        <x:v>User may select any combination</x:v>
      </x:c>
    </x:row>
    <x:row r="14">
      <x:c r="A14" s="19" t="str">
        <x:v>Parity baseline is a valid series</x:v>
      </x:c>
      <x:c r="B14" s="205" t="n">
        <x:f>IF(COUNTIF('Assumptions &amp; Sources'!$H$6:$H$21,'Dashboard'!$B$4)=1,1,0)</x:f>
        <x:v>1</x:v>
      </x:c>
      <x:c r="C14" s="205" t="n">
        <x:v>1</x:v>
      </x:c>
      <x:c r="D14" s="19" t="str">
        <x:f>IF(ABS(B14-C14)&lt;0.0001,"PASS","FAIL")</x:f>
        <x:v>PASS</x:v>
      </x:c>
      <x:c r="E14" s="19" t="str">
        <x:v>Controls</x:v>
      </x:c>
      <x:c r="F14" s="19" t="str">
        <x:v>User may change the baseline</x:v>
      </x:c>
    </x:row>
    <x:row r="15">
      <x:c r="A15" s="19" t="str">
        <x:v>2026 FERS-FRAE rate</x:v>
      </x:c>
      <x:c r="B15" s="205" t="n">
        <x:f>'GS Source'!$C$31</x:f>
        <x:v>0.044</x:v>
      </x:c>
      <x:c r="C15" s="205" t="n">
        <x:v>0.044</x:v>
      </x:c>
      <x:c r="D15" s="19" t="str">
        <x:f>IF(ABS(B15-C15)&lt;0.0001,"PASS","FAIL")</x:f>
        <x:v>PASS</x:v>
      </x:c>
      <x:c r="E15" s="19" t="str">
        <x:v>FERS</x:v>
      </x:c>
      <x:c r="F15" s="19" t="str">
        <x:v>New hire from 2014 forward</x:v>
      </x:c>
    </x:row>
    <x:row r="16">
      <x:c r="A16" s="19" t="str">
        <x:v>2013 after-FERS decline for GS-12/1</x:v>
      </x:c>
      <x:c r="B16" s="205" t="n">
        <x:f>'GS Source'!$K$18/'GS Source'!$K$17-1</x:f>
        <x:v>-0.02318548387096775</x:v>
      </x:c>
      <x:c r="C16" s="205" t="n">
        <x:v>-0.02318548387096775</x:v>
      </x:c>
      <x:c r="D16" s="19" t="str">
        <x:f>IF(ABS(B16-C16)&lt;0.0001,"PASS","FAIL")</x:f>
        <x:v>PASS</x:v>
      </x:c>
      <x:c r="E16" s="19" t="str">
        <x:v>FERS</x:v>
      </x:c>
      <x:c r="F16" s="19" t="str">
        <x:v>FERS-RAE begins</x:v>
      </x:c>
    </x:row>
    <x:row r="17">
      <x:c r="A17" s="19" t="str">
        <x:v>2014 after-FERS decline for GS-12/1</x:v>
      </x:c>
      <x:c r="B17" s="205" t="n">
        <x:f>'GS Source'!$K$19/'GS Source'!$K$18-1</x:f>
        <x:v>-0.003551342020457482</x:v>
      </x:c>
      <x:c r="C17" s="205" t="n">
        <x:v>-0.003551342020457482</x:v>
      </x:c>
      <x:c r="D17" s="19" t="str">
        <x:f>IF(ABS(B17-C17)&lt;0.0001,"PASS","FAIL")</x:f>
        <x:v>PASS</x:v>
      </x:c>
      <x:c r="E17" s="19" t="str">
        <x:v>FERS</x:v>
      </x:c>
      <x:c r="F17" s="19" t="str">
        <x:v>FERS-FRAE begins</x:v>
      </x:c>
    </x:row>
    <x:row r="18">
      <x:c r="A18" s="19" t="str">
        <x:v>2026 O-3 monthly basic pay</x:v>
      </x:c>
      <x:c r="B18" s="205" t="n">
        <x:f>SUMIFS('Military Detail'!$F$6:$F$167,'Military Detail'!$A$6:$A$167,2026,'Military Detail'!$C$6:$C$167,"O-3")</x:f>
        <x:v>7737</x:v>
      </x:c>
      <x:c r="C18" s="205" t="n">
        <x:v>7737</x:v>
      </x:c>
      <x:c r="D18" s="19" t="str">
        <x:f>IF(ABS(B18-C18)&lt;0.0001,"PASS","FAIL")</x:f>
        <x:v>PASS</x:v>
      </x:c>
      <x:c r="E18" s="19" t="str">
        <x:v>Known value</x:v>
      </x:c>
      <x:c r="F18" s="19" t="str">
        <x:v>DFAS control</x:v>
      </x:c>
    </x:row>
    <x:row r="19">
      <x:c r="A19" s="19" t="str">
        <x:v>2026 O-3 monthly Hill BAH</x:v>
      </x:c>
      <x:c r="B19" s="205" t="n">
        <x:f>SUMIFS('Military Detail'!$H$6:$H$167,'Military Detail'!$A$6:$A$167,2026,'Military Detail'!$C$6:$C$167,"O-3")</x:f>
        <x:v>2361</x:v>
      </x:c>
      <x:c r="C19" s="205" t="n">
        <x:v>2361</x:v>
      </x:c>
      <x:c r="D19" s="19" t="str">
        <x:f>IF(ABS(B19-C19)&lt;0.0001,"PASS","FAIL")</x:f>
        <x:v>PASS</x:v>
      </x:c>
      <x:c r="E19" s="19" t="str">
        <x:v>Known value</x:v>
      </x:c>
      <x:c r="F19" s="19" t="str">
        <x:v>ZIP 84056, with dependents</x:v>
      </x:c>
    </x:row>
    <x:row r="20">
      <x:c r="A20" s="19" t="str">
        <x:v>2026 officer monthly BAS</x:v>
      </x:c>
      <x:c r="B20" s="205" t="n">
        <x:f>SUMIFS('Military Detail'!$J$6:$J$167,'Military Detail'!$A$6:$A$167,2026,'Military Detail'!$C$6:$C$167,"O-3")</x:f>
        <x:v>328.48</x:v>
      </x:c>
      <x:c r="C20" s="205" t="n">
        <x:v>328.48</x:v>
      </x:c>
      <x:c r="D20" s="19" t="str">
        <x:f>IF(ABS(B20-C20)&lt;0.0001,"PASS","FAIL")</x:f>
        <x:v>PASS</x:v>
      </x:c>
      <x:c r="E20" s="19" t="str">
        <x:v>Known value</x:v>
      </x:c>
      <x:c r="F20" s="19" t="str">
        <x:v>DFAS officer BAS</x:v>
      </x:c>
    </x:row>
    <x:row r="21">
      <x:c r="A21" s="19" t="str">
        <x:v>2026 O-6 monthly basic pay</x:v>
      </x:c>
      <x:c r="B21" s="205" t="n">
        <x:f>SUMIFS('Military Detail'!$F$6:$F$167,'Military Detail'!$A$6:$A$167,2026,'Military Detail'!$C$6:$C$167,"O-6")</x:f>
        <x:v>14112.9</x:v>
      </x:c>
      <x:c r="C21" s="205" t="n">
        <x:v>14112.9</x:v>
      </x:c>
      <x:c r="D21" s="19" t="str">
        <x:f>IF(ABS(B21-C21)&lt;0.0001,"PASS","FAIL")</x:f>
        <x:v>PASS</x:v>
      </x:c>
      <x:c r="E21" s="19" t="str">
        <x:v>Known value</x:v>
      </x:c>
      <x:c r="F21" s="19" t="str">
        <x:v>DFAS control</x:v>
      </x:c>
    </x:row>
    <x:row r="22">
      <x:c r="A22" s="19" t="str">
        <x:v>Military annualization tie-out</x:v>
      </x:c>
      <x:c r="B22" s="205" t="n">
        <x:f>ABS(SUM('Military Detail'!$G$6:$G$167)-SUM('Military Detail'!$F$6:$F$167)*12)</x:f>
        <x:v>1.862645149230957e-9</x:v>
      </x:c>
      <x:c r="C22" s="205" t="n">
        <x:v>0</x:v>
      </x:c>
      <x:c r="D22" s="19" t="str">
        <x:f>IF(ABS(B22-C22)&lt;0.0001,"PASS","FAIL")</x:f>
        <x:v>PASS</x:v>
      </x:c>
      <x:c r="E22" s="19" t="str">
        <x:v>Annualization</x:v>
      </x:c>
      <x:c r="F22" s="19" t="str">
        <x:v>Basic pay monthly × 12</x:v>
      </x:c>
    </x:row>
    <x:row r="23">
      <x:c r="A23" s="19" t="str">
        <x:v>BAH annualization tie-out</x:v>
      </x:c>
      <x:c r="B23" s="205" t="n">
        <x:f>ABS(SUM('Military Detail'!$I$6:$I$167)-SUM('Military Detail'!$H$6:$H$167)*12)</x:f>
        <x:v>0</x:v>
      </x:c>
      <x:c r="C23" s="205" t="n">
        <x:v>0</x:v>
      </x:c>
      <x:c r="D23" s="19" t="str">
        <x:f>IF(ABS(B23-C23)&lt;0.0001,"PASS","FAIL")</x:f>
        <x:v>PASS</x:v>
      </x:c>
      <x:c r="E23" s="19" t="str">
        <x:v>Annualization</x:v>
      </x:c>
      <x:c r="F23" s="19" t="str">
        <x:v>BAH monthly × 12</x:v>
      </x:c>
    </x:row>
    <x:row r="24">
      <x:c r="A24" s="19" t="str">
        <x:v>BAS annualization tie-out</x:v>
      </x:c>
      <x:c r="B24" s="205" t="n">
        <x:f>ABS(SUM('Military Detail'!$K$6:$K$167)-SUM('Military Detail'!$J$6:$J$167)*12)</x:f>
        <x:v>1.280568540096283e-9</x:v>
      </x:c>
      <x:c r="C24" s="205" t="n">
        <x:v>0</x:v>
      </x:c>
      <x:c r="D24" s="19" t="str">
        <x:f>IF(ABS(B24-C24)&lt;0.0001,"PASS","FAIL")</x:f>
        <x:v>PASS</x:v>
      </x:c>
      <x:c r="E24" s="19" t="str">
        <x:v>Annualization</x:v>
      </x:c>
      <x:c r="F24" s="19" t="str">
        <x:v>BAS monthly × 12</x:v>
      </x:c>
    </x:row>
    <x:row r="25">
      <x:c r="A25" s="19" t="str">
        <x:v>Military component tie-out</x:v>
      </x:c>
      <x:c r="B25" s="205" t="n">
        <x:f>ABS(SUM('Military Detail'!$M$6:$M$167)-SUM('Military Detail'!$G$6:$G$167)-SUM('Military Detail'!$I$6:$I$167)-SUM('Military Detail'!$K$6:$K$167))</x:f>
        <x:v>6.752088665962219e-9</x:v>
      </x:c>
      <x:c r="C25" s="205" t="n">
        <x:v>0</x:v>
      </x:c>
      <x:c r="D25" s="19" t="str">
        <x:f>IF(ABS(B25-C25)&lt;0.0001,"PASS","FAIL")</x:f>
        <x:v>PASS</x:v>
      </x:c>
      <x:c r="E25" s="19" t="str">
        <x:v>Compensation</x:v>
      </x:c>
      <x:c r="F25" s="19" t="str">
        <x:v>Basic + BAH + BAS</x:v>
      </x:c>
    </x:row>
    <x:row r="26">
      <x:c r="A26" s="19" t="str">
        <x:v>2026 private annual equivalent</x:v>
      </x:c>
      <x:c r="B26" s="205" t="n">
        <x:f>'Private Wage'!$E$31</x:f>
        <x:v>67808</x:v>
      </x:c>
      <x:c r="C26" s="205" t="n">
        <x:v>67808</x:v>
      </x:c>
      <x:c r="D26" s="19" t="str">
        <x:f>IF(ABS(B26-C26)&lt;0.0001,"PASS","FAIL")</x:f>
        <x:v>PASS</x:v>
      </x:c>
      <x:c r="E26" s="19" t="str">
        <x:v>Known value</x:v>
      </x:c>
      <x:c r="F26" s="19" t="str">
        <x:v>$32.60 × 2,080</x:v>
      </x:c>
    </x:row>
    <x:row r="27">
      <x:c r="A27" s="19" t="str">
        <x:v>2027F GS pay change</x:v>
      </x:c>
      <x:c r="B27" s="205" t="n">
        <x:f>'GS Source'!$D$32/'GS Source'!$D$31-1</x:f>
        <x:v>0</x:v>
      </x:c>
      <x:c r="C27" s="205" t="n">
        <x:v>0</x:v>
      </x:c>
      <x:c r="D27" s="19" t="str">
        <x:f>IF(ABS(B27-C27)&lt;0.0001,"PASS","FAIL")</x:f>
        <x:v>PASS</x:v>
      </x:c>
      <x:c r="E27" s="19" t="str">
        <x:v>Forecast</x:v>
      </x:c>
      <x:c r="F27" s="19" t="str">
        <x:v>President's Budget case</x:v>
      </x:c>
    </x:row>
    <x:row r="28">
      <x:c r="A28" s="19" t="str">
        <x:v>2027F O-3 basic-pay change</x:v>
      </x:c>
      <x:c r="B28" s="205" t="n">
        <x:f>SUMIFS('Military Detail'!$F$6:$F$167,'Military Detail'!$A$6:$A$167,"2027F",'Military Detail'!$C$6:$C$167,"O-3")/SUMIFS('Military Detail'!$F$6:$F$167,'Military Detail'!$A$6:$A$167,2026,'Military Detail'!$C$6:$C$167,"O-3")-1</x:f>
        <x:v>0.06000000000000005</x:v>
      </x:c>
      <x:c r="C28" s="205" t="n">
        <x:v>0.06</x:v>
      </x:c>
      <x:c r="D28" s="19" t="str">
        <x:f>IF(ABS(B28-C28)&lt;0.0001,"PASS","FAIL")</x:f>
        <x:v>PASS</x:v>
      </x:c>
      <x:c r="E28" s="19" t="str">
        <x:v>Forecast</x:v>
      </x:c>
      <x:c r="F28" s="19" t="str">
        <x:v>O-1 through O-3 band</x:v>
      </x:c>
    </x:row>
    <x:row r="29">
      <x:c r="A29" s="19" t="str">
        <x:v>2027F O-6 basic-pay change</x:v>
      </x:c>
      <x:c r="B29" s="205" t="n">
        <x:f>SUMIFS('Military Detail'!$F$6:$F$167,'Military Detail'!$A$6:$A$167,"2027F",'Military Detail'!$C$6:$C$167,"O-6")/SUMIFS('Military Detail'!$F$6:$F$167,'Military Detail'!$A$6:$A$167,2026,'Military Detail'!$C$6:$C$167,"O-6")-1</x:f>
        <x:v>0.050000000000000044</x:v>
      </x:c>
      <x:c r="C29" s="205" t="n">
        <x:v>0.05</x:v>
      </x:c>
      <x:c r="D29" s="19" t="str">
        <x:f>IF(ABS(B29-C29)&lt;0.0001,"PASS","FAIL")</x:f>
        <x:v>PASS</x:v>
      </x:c>
      <x:c r="E29" s="19" t="str">
        <x:v>Forecast</x:v>
      </x:c>
      <x:c r="F29" s="19" t="str">
        <x:v>O-4 and above band</x:v>
      </x:c>
    </x:row>
    <x:row r="30">
      <x:c r="A30" s="19" t="str">
        <x:v>2027F private wage change</x:v>
      </x:c>
      <x:c r="B30" s="205" t="n">
        <x:f>'Private Wage'!$E$32/'Private Wage'!$E$31-1</x:f>
        <x:v>0.03200000000000003</x:v>
      </x:c>
      <x:c r="C30" s="205" t="n">
        <x:v>0.032</x:v>
      </x:c>
      <x:c r="D30" s="19" t="str">
        <x:f>IF(ABS(B30-C30)&lt;0.0001,"PASS","FAIL")</x:f>
        <x:v>PASS</x:v>
      </x:c>
      <x:c r="E30" s="19" t="str">
        <x:v>Forecast</x:v>
      </x:c>
      <x:c r="F30" s="19" t="str">
        <x:v>CBO forecast</x:v>
      </x:c>
    </x:row>
    <x:row r="31">
      <x:c r="A31" s="19" t="str">
        <x:v>2027F BAH held flat</x:v>
      </x:c>
      <x:c r="B31" s="205" t="n">
        <x:f>MAXIFS('Military Detail'!$H$6:$H$167,'Military Detail'!$A$6:$A$167,"2027F")-MAXIFS('Military Detail'!$H$6:$H$167,'Military Detail'!$A$6:$A$167,2026)</x:f>
        <x:v>0</x:v>
      </x:c>
      <x:c r="C31" s="205" t="n">
        <x:v>0</x:v>
      </x:c>
      <x:c r="D31" s="19" t="str">
        <x:f>IF(ABS(B31-C31)&lt;0.0001,"PASS","FAIL")</x:f>
        <x:v>PASS</x:v>
      </x:c>
      <x:c r="E31" s="19" t="str">
        <x:v>Forecast</x:v>
      </x:c>
      <x:c r="F31" s="19" t="str">
        <x:v>Pending official 2027 rates</x:v>
      </x:c>
    </x:row>
    <x:row r="32">
      <x:c r="A32" s="19" t="str">
        <x:v>Blue 0% reference remains flat</x:v>
      </x:c>
      <x:c r="B32" s="205" t="n">
        <x:f>MAX('Parity Gaps'!$S$6:$S$32)-MIN('Parity Gaps'!$S$6:$S$32)</x:f>
        <x:v>0</x:v>
      </x:c>
      <x:c r="C32" s="205" t="n">
        <x:v>0</x:v>
      </x:c>
      <x:c r="D32" s="19" t="str">
        <x:f>IF(ABS(B32-C32)&lt;0.0001,"PASS","FAIL")</x:f>
        <x:v>PASS</x:v>
      </x:c>
      <x:c r="E32" s="19" t="str">
        <x:v>Chart control</x:v>
      </x:c>
      <x:c r="F32" s="19" t="str">
        <x:v>Required 0% line</x:v>
      </x:c>
    </x:row>
    <x:row r="33">
      <x:c r="A33" s="208" t="str">
        <x:v>All detailed checks pass</x:v>
      </x:c>
      <x:c r="B33" s="209"/>
      <x:c r="C33" s="209"/>
      <x:c r="D33" s="209" t="str">
        <x:f>IF(COUNTIF(D6:D32,"PASS")=27,"PASS","FAIL")</x:f>
        <x:v>PASS</x:v>
      </x:c>
      <x:c r="E33" s="209" t="str">
        <x:f>COUNTIF(D6:D32,"PASS")&amp;" of 27 checks passed"</x:f>
        <x:v>27 of 27 checks passed</x:v>
      </x:c>
      <x:c r="F33" s="210"/>
    </x:row>
  </x:sheetData>
  <x:mergeCells>
    <x:mergeCell ref="A1:F1"/>
    <x:mergeCell ref="A2:F2"/>
    <x:mergeCell ref="A33:C33"/>
    <x:mergeCell ref="E33:F33"/>
  </x:mergeCells>
  <x:conditionalFormatting sqref="D6:D33">
    <x:cfRule type="containsText" dxfId="2" priority="1" operator="containsText" text="PASS"/>
    <x:cfRule type="containsText" dxfId="3" priority="2" operator="containsText" text="FAIL"/>
  </x:conditionalFormatting>
  <x:pageMargins left="0.7" right="0.7" top="0.75" bottom="0.75" header="0.3" footer="0.3"/>
  <x:tableParts count="1">
    <x:tablePart xmlns:r="http://schemas.openxmlformats.org/officeDocument/2006/relationships" r:id="Ree18589d55db4376"/>
  </x:tableParts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</x:cols>
  <x:sheetData>
    <x:row r="1" ht="32" customHeight="1">
      <x:c r="A1" s="3" t="str">
        <x:v>Formula-Driven Chart Data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ht="34" customHeight="1">
      <x:c r="A2" s="7" t="str">
        <x:v>Intentional #N/A results suppress series whose Dashboard toggle is No. Do not replace these formulas with zeroes.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</x:row>
    <x:row r="5" ht="32" customHeight="1">
      <x:c r="A5" s="37" t="str">
        <x:v>Year</x:v>
      </x:c>
      <x:c r="B5" s="37" t="str">
        <x:v>GS-7 step 1</x:v>
      </x:c>
      <x:c r="C5" s="37" t="str">
        <x:v>GS-9 step 1</x:v>
      </x:c>
      <x:c r="D5" s="37" t="str">
        <x:v>GS-11 step 1</x:v>
      </x:c>
      <x:c r="E5" s="37" t="str">
        <x:v>GS-12 step 1</x:v>
      </x:c>
      <x:c r="F5" s="37" t="str">
        <x:v>GS-13 step 1</x:v>
      </x:c>
      <x:c r="G5" s="37" t="str">
        <x:v>GS-13 step 10</x:v>
      </x:c>
      <x:c r="H5" s="37" t="str">
        <x:v>GS-14 step 1</x:v>
      </x:c>
      <x:c r="I5" s="37" t="str">
        <x:v>GS-15 step 1</x:v>
      </x:c>
      <x:c r="J5" s="37" t="str">
        <x:v>GS-15 step 10</x:v>
      </x:c>
      <x:c r="K5" s="37" t="str">
        <x:v>O-1</x:v>
      </x:c>
      <x:c r="L5" s="37" t="str">
        <x:v>O-2</x:v>
      </x:c>
      <x:c r="M5" s="37" t="str">
        <x:v>O-3</x:v>
      </x:c>
      <x:c r="N5" s="37" t="str">
        <x:v>O-4</x:v>
      </x:c>
      <x:c r="O5" s="37" t="str">
        <x:v>O-5</x:v>
      </x:c>
      <x:c r="P5" s="37" t="str">
        <x:v>O-6</x:v>
      </x:c>
      <x:c r="Q5" s="37" t="str">
        <x:v>Average private wage</x:v>
      </x:c>
    </x:row>
    <x:row r="6">
      <x:c r="A6" s="44" t="n">
        <x:f>'Annual Values'!A6</x:f>
        <x:v>2001</x:v>
      </x:c>
      <x:c r="B6" s="66" t="e">
        <x:f>IF('Dashboard'!$C$6="Yes",'Annual Values'!C6,NA())</x:f>
        <x:v>#N/A</x:v>
      </x:c>
      <x:c r="C6" s="66" t="e">
        <x:f>IF('Dashboard'!$C$7="Yes",'Annual Values'!D6,NA())</x:f>
        <x:v>#N/A</x:v>
      </x:c>
      <x:c r="D6" s="66" t="e">
        <x:f>IF('Dashboard'!$C$8="Yes",'Annual Values'!E6,NA())</x:f>
        <x:v>#N/A</x:v>
      </x:c>
      <x:c r="E6" s="66" t="n">
        <x:f>IF('Dashboard'!$C$9="Yes",'Annual Values'!F6,NA())</x:f>
        <x:v>51511.584</x:v>
      </x:c>
      <x:c r="F6" s="66" t="e">
        <x:f>IF('Dashboard'!$C$10="Yes",'Annual Values'!G6,NA())</x:f>
        <x:v>#N/A</x:v>
      </x:c>
      <x:c r="G6" s="66" t="e">
        <x:f>IF('Dashboard'!$C$11="Yes",'Annual Values'!H6,NA())</x:f>
        <x:v>#N/A</x:v>
      </x:c>
      <x:c r="H6" s="66" t="e">
        <x:f>IF('Dashboard'!$C$12="Yes",'Annual Values'!I6,NA())</x:f>
        <x:v>#N/A</x:v>
      </x:c>
      <x:c r="I6" s="66" t="e">
        <x:f>IF('Dashboard'!$C$13="Yes",'Annual Values'!J6,NA())</x:f>
        <x:v>#N/A</x:v>
      </x:c>
      <x:c r="J6" s="66" t="e">
        <x:f>IF('Dashboard'!$C$14="Yes",'Annual Values'!K6,NA())</x:f>
        <x:v>#N/A</x:v>
      </x:c>
      <x:c r="K6" s="66" t="e">
        <x:f>IF('Dashboard'!$C$15="Yes",'Annual Values'!L6,NA())</x:f>
        <x:v>#N/A</x:v>
      </x:c>
      <x:c r="L6" s="66" t="e">
        <x:f>IF('Dashboard'!$C$16="Yes",'Annual Values'!M6,NA())</x:f>
        <x:v>#N/A</x:v>
      </x:c>
      <x:c r="M6" s="66" t="n">
        <x:f>IF('Dashboard'!$C$17="Yes",'Annual Values'!N6,NA())</x:f>
        <x:v>59452.492307692315</x:v>
      </x:c>
      <x:c r="N6" s="66" t="e">
        <x:f>IF('Dashboard'!$C$18="Yes",'Annual Values'!O6,NA())</x:f>
        <x:v>#N/A</x:v>
      </x:c>
      <x:c r="O6" s="66" t="e">
        <x:f>IF('Dashboard'!$C$19="Yes",'Annual Values'!P6,NA())</x:f>
        <x:v>#N/A</x:v>
      </x:c>
      <x:c r="P6" s="66" t="e">
        <x:f>IF('Dashboard'!$C$20="Yes",'Annual Values'!Q6,NA())</x:f>
        <x:v>#N/A</x:v>
      </x:c>
      <x:c r="Q6" s="66" t="e">
        <x:f>IF('Dashboard'!$C$21="Yes",'Annual Values'!R6,NA())</x:f>
        <x:v>#N/A</x:v>
      </x:c>
    </x:row>
    <x:row r="7">
      <x:c r="A7" s="45" t="n">
        <x:f>'Annual Values'!A7</x:f>
        <x:v>2002</x:v>
      </x:c>
      <x:c r="B7" s="67" t="e">
        <x:f>IF('Dashboard'!$C$6="Yes",'Annual Values'!C7,NA())</x:f>
        <x:v>#N/A</x:v>
      </x:c>
      <x:c r="C7" s="67" t="e">
        <x:f>IF('Dashboard'!$C$7="Yes",'Annual Values'!D7,NA())</x:f>
        <x:v>#N/A</x:v>
      </x:c>
      <x:c r="D7" s="67" t="e">
        <x:f>IF('Dashboard'!$C$8="Yes",'Annual Values'!E7,NA())</x:f>
        <x:v>#N/A</x:v>
      </x:c>
      <x:c r="E7" s="67" t="n">
        <x:f>IF('Dashboard'!$C$9="Yes",'Annual Values'!F7,NA())</x:f>
        <x:v>53840.8</x:v>
      </x:c>
      <x:c r="F7" s="67" t="e">
        <x:f>IF('Dashboard'!$C$10="Yes",'Annual Values'!G7,NA())</x:f>
        <x:v>#N/A</x:v>
      </x:c>
      <x:c r="G7" s="67" t="e">
        <x:f>IF('Dashboard'!$C$11="Yes",'Annual Values'!H7,NA())</x:f>
        <x:v>#N/A</x:v>
      </x:c>
      <x:c r="H7" s="67" t="e">
        <x:f>IF('Dashboard'!$C$12="Yes",'Annual Values'!I7,NA())</x:f>
        <x:v>#N/A</x:v>
      </x:c>
      <x:c r="I7" s="67" t="e">
        <x:f>IF('Dashboard'!$C$13="Yes",'Annual Values'!J7,NA())</x:f>
        <x:v>#N/A</x:v>
      </x:c>
      <x:c r="J7" s="67" t="e">
        <x:f>IF('Dashboard'!$C$14="Yes",'Annual Values'!K7,NA())</x:f>
        <x:v>#N/A</x:v>
      </x:c>
      <x:c r="K7" s="67" t="e">
        <x:f>IF('Dashboard'!$C$15="Yes",'Annual Values'!L7,NA())</x:f>
        <x:v>#N/A</x:v>
      </x:c>
      <x:c r="L7" s="67" t="e">
        <x:f>IF('Dashboard'!$C$16="Yes",'Annual Values'!M7,NA())</x:f>
        <x:v>#N/A</x:v>
      </x:c>
      <x:c r="M7" s="67" t="n">
        <x:f>IF('Dashboard'!$C$17="Yes",'Annual Values'!N7,NA())</x:f>
        <x:v>62344.86153846153</x:v>
      </x:c>
      <x:c r="N7" s="67" t="e">
        <x:f>IF('Dashboard'!$C$18="Yes",'Annual Values'!O7,NA())</x:f>
        <x:v>#N/A</x:v>
      </x:c>
      <x:c r="O7" s="67" t="e">
        <x:f>IF('Dashboard'!$C$19="Yes",'Annual Values'!P7,NA())</x:f>
        <x:v>#N/A</x:v>
      </x:c>
      <x:c r="P7" s="67" t="e">
        <x:f>IF('Dashboard'!$C$20="Yes",'Annual Values'!Q7,NA())</x:f>
        <x:v>#N/A</x:v>
      </x:c>
      <x:c r="Q7" s="67" t="e">
        <x:f>IF('Dashboard'!$C$21="Yes",'Annual Values'!R7,NA())</x:f>
        <x:v>#N/A</x:v>
      </x:c>
    </x:row>
    <x:row r="8">
      <x:c r="A8" s="45" t="n">
        <x:f>'Annual Values'!A8</x:f>
        <x:v>2003</x:v>
      </x:c>
      <x:c r="B8" s="67" t="e">
        <x:f>IF('Dashboard'!$C$6="Yes",'Annual Values'!C8,NA())</x:f>
        <x:v>#N/A</x:v>
      </x:c>
      <x:c r="C8" s="67" t="e">
        <x:f>IF('Dashboard'!$C$7="Yes",'Annual Values'!D8,NA())</x:f>
        <x:v>#N/A</x:v>
      </x:c>
      <x:c r="D8" s="67" t="e">
        <x:f>IF('Dashboard'!$C$8="Yes",'Annual Values'!E8,NA())</x:f>
        <x:v>#N/A</x:v>
      </x:c>
      <x:c r="E8" s="67" t="n">
        <x:f>IF('Dashboard'!$C$9="Yes",'Annual Values'!F8,NA())</x:f>
        <x:v>56011.296</x:v>
      </x:c>
      <x:c r="F8" s="67" t="e">
        <x:f>IF('Dashboard'!$C$10="Yes",'Annual Values'!G8,NA())</x:f>
        <x:v>#N/A</x:v>
      </x:c>
      <x:c r="G8" s="67" t="e">
        <x:f>IF('Dashboard'!$C$11="Yes",'Annual Values'!H8,NA())</x:f>
        <x:v>#N/A</x:v>
      </x:c>
      <x:c r="H8" s="67" t="e">
        <x:f>IF('Dashboard'!$C$12="Yes",'Annual Values'!I8,NA())</x:f>
        <x:v>#N/A</x:v>
      </x:c>
      <x:c r="I8" s="67" t="e">
        <x:f>IF('Dashboard'!$C$13="Yes",'Annual Values'!J8,NA())</x:f>
        <x:v>#N/A</x:v>
      </x:c>
      <x:c r="J8" s="67" t="e">
        <x:f>IF('Dashboard'!$C$14="Yes",'Annual Values'!K8,NA())</x:f>
        <x:v>#N/A</x:v>
      </x:c>
      <x:c r="K8" s="67" t="e">
        <x:f>IF('Dashboard'!$C$15="Yes",'Annual Values'!L8,NA())</x:f>
        <x:v>#N/A</x:v>
      </x:c>
      <x:c r="L8" s="67" t="e">
        <x:f>IF('Dashboard'!$C$16="Yes",'Annual Values'!M8,NA())</x:f>
        <x:v>#N/A</x:v>
      </x:c>
      <x:c r="M8" s="67" t="n">
        <x:f>IF('Dashboard'!$C$17="Yes",'Annual Values'!N8,NA())</x:f>
        <x:v>64821.69230769231</x:v>
      </x:c>
      <x:c r="N8" s="67" t="e">
        <x:f>IF('Dashboard'!$C$18="Yes",'Annual Values'!O8,NA())</x:f>
        <x:v>#N/A</x:v>
      </x:c>
      <x:c r="O8" s="67" t="e">
        <x:f>IF('Dashboard'!$C$19="Yes",'Annual Values'!P8,NA())</x:f>
        <x:v>#N/A</x:v>
      </x:c>
      <x:c r="P8" s="67" t="e">
        <x:f>IF('Dashboard'!$C$20="Yes",'Annual Values'!Q8,NA())</x:f>
        <x:v>#N/A</x:v>
      </x:c>
      <x:c r="Q8" s="67" t="e">
        <x:f>IF('Dashboard'!$C$21="Yes",'Annual Values'!R8,NA())</x:f>
        <x:v>#N/A</x:v>
      </x:c>
    </x:row>
    <x:row r="9">
      <x:c r="A9" s="45" t="n">
        <x:f>'Annual Values'!A9</x:f>
        <x:v>2004</x:v>
      </x:c>
      <x:c r="B9" s="67" t="e">
        <x:f>IF('Dashboard'!$C$6="Yes",'Annual Values'!C9,NA())</x:f>
        <x:v>#N/A</x:v>
      </x:c>
      <x:c r="C9" s="67" t="e">
        <x:f>IF('Dashboard'!$C$7="Yes",'Annual Values'!D9,NA())</x:f>
        <x:v>#N/A</x:v>
      </x:c>
      <x:c r="D9" s="67" t="e">
        <x:f>IF('Dashboard'!$C$8="Yes",'Annual Values'!E9,NA())</x:f>
        <x:v>#N/A</x:v>
      </x:c>
      <x:c r="E9" s="67" t="n">
        <x:f>IF('Dashboard'!$C$9="Yes",'Annual Values'!F9,NA())</x:f>
        <x:v>58195.68</x:v>
      </x:c>
      <x:c r="F9" s="67" t="e">
        <x:f>IF('Dashboard'!$C$10="Yes",'Annual Values'!G9,NA())</x:f>
        <x:v>#N/A</x:v>
      </x:c>
      <x:c r="G9" s="67" t="e">
        <x:f>IF('Dashboard'!$C$11="Yes",'Annual Values'!H9,NA())</x:f>
        <x:v>#N/A</x:v>
      </x:c>
      <x:c r="H9" s="67" t="e">
        <x:f>IF('Dashboard'!$C$12="Yes",'Annual Values'!I9,NA())</x:f>
        <x:v>#N/A</x:v>
      </x:c>
      <x:c r="I9" s="67" t="e">
        <x:f>IF('Dashboard'!$C$13="Yes",'Annual Values'!J9,NA())</x:f>
        <x:v>#N/A</x:v>
      </x:c>
      <x:c r="J9" s="67" t="e">
        <x:f>IF('Dashboard'!$C$14="Yes",'Annual Values'!K9,NA())</x:f>
        <x:v>#N/A</x:v>
      </x:c>
      <x:c r="K9" s="67" t="e">
        <x:f>IF('Dashboard'!$C$15="Yes",'Annual Values'!L9,NA())</x:f>
        <x:v>#N/A</x:v>
      </x:c>
      <x:c r="L9" s="67" t="e">
        <x:f>IF('Dashboard'!$C$16="Yes",'Annual Values'!M9,NA())</x:f>
        <x:v>#N/A</x:v>
      </x:c>
      <x:c r="M9" s="67" t="n">
        <x:f>IF('Dashboard'!$C$17="Yes",'Annual Values'!N9,NA())</x:f>
        <x:v>67352.43076923078</x:v>
      </x:c>
      <x:c r="N9" s="67" t="e">
        <x:f>IF('Dashboard'!$C$18="Yes",'Annual Values'!O9,NA())</x:f>
        <x:v>#N/A</x:v>
      </x:c>
      <x:c r="O9" s="67" t="e">
        <x:f>IF('Dashboard'!$C$19="Yes",'Annual Values'!P9,NA())</x:f>
        <x:v>#N/A</x:v>
      </x:c>
      <x:c r="P9" s="67" t="e">
        <x:f>IF('Dashboard'!$C$20="Yes",'Annual Values'!Q9,NA())</x:f>
        <x:v>#N/A</x:v>
      </x:c>
      <x:c r="Q9" s="67" t="e">
        <x:f>IF('Dashboard'!$C$21="Yes",'Annual Values'!R9,NA())</x:f>
        <x:v>#N/A</x:v>
      </x:c>
    </x:row>
    <x:row r="10">
      <x:c r="A10" s="45" t="n">
        <x:f>'Annual Values'!A10</x:f>
        <x:v>2005</x:v>
      </x:c>
      <x:c r="B10" s="67" t="e">
        <x:f>IF('Dashboard'!$C$6="Yes",'Annual Values'!C10,NA())</x:f>
        <x:v>#N/A</x:v>
      </x:c>
      <x:c r="C10" s="67" t="e">
        <x:f>IF('Dashboard'!$C$7="Yes",'Annual Values'!D10,NA())</x:f>
        <x:v>#N/A</x:v>
      </x:c>
      <x:c r="D10" s="67" t="e">
        <x:f>IF('Dashboard'!$C$8="Yes",'Annual Values'!E10,NA())</x:f>
        <x:v>#N/A</x:v>
      </x:c>
      <x:c r="E10" s="67" t="n">
        <x:f>IF('Dashboard'!$C$9="Yes",'Annual Values'!F10,NA())</x:f>
        <x:v>60091.392</x:v>
      </x:c>
      <x:c r="F10" s="67" t="e">
        <x:f>IF('Dashboard'!$C$10="Yes",'Annual Values'!G10,NA())</x:f>
        <x:v>#N/A</x:v>
      </x:c>
      <x:c r="G10" s="67" t="e">
        <x:f>IF('Dashboard'!$C$11="Yes",'Annual Values'!H10,NA())</x:f>
        <x:v>#N/A</x:v>
      </x:c>
      <x:c r="H10" s="67" t="e">
        <x:f>IF('Dashboard'!$C$12="Yes",'Annual Values'!I10,NA())</x:f>
        <x:v>#N/A</x:v>
      </x:c>
      <x:c r="I10" s="67" t="e">
        <x:f>IF('Dashboard'!$C$13="Yes",'Annual Values'!J10,NA())</x:f>
        <x:v>#N/A</x:v>
      </x:c>
      <x:c r="J10" s="67" t="e">
        <x:f>IF('Dashboard'!$C$14="Yes",'Annual Values'!K10,NA())</x:f>
        <x:v>#N/A</x:v>
      </x:c>
      <x:c r="K10" s="67" t="e">
        <x:f>IF('Dashboard'!$C$15="Yes",'Annual Values'!L10,NA())</x:f>
        <x:v>#N/A</x:v>
      </x:c>
      <x:c r="L10" s="67" t="e">
        <x:f>IF('Dashboard'!$C$16="Yes",'Annual Values'!M10,NA())</x:f>
        <x:v>#N/A</x:v>
      </x:c>
      <x:c r="M10" s="67" t="n">
        <x:f>IF('Dashboard'!$C$17="Yes",'Annual Values'!N10,NA())</x:f>
        <x:v>71073.78461538462</x:v>
      </x:c>
      <x:c r="N10" s="67" t="e">
        <x:f>IF('Dashboard'!$C$18="Yes",'Annual Values'!O10,NA())</x:f>
        <x:v>#N/A</x:v>
      </x:c>
      <x:c r="O10" s="67" t="e">
        <x:f>IF('Dashboard'!$C$19="Yes",'Annual Values'!P10,NA())</x:f>
        <x:v>#N/A</x:v>
      </x:c>
      <x:c r="P10" s="67" t="e">
        <x:f>IF('Dashboard'!$C$20="Yes",'Annual Values'!Q10,NA())</x:f>
        <x:v>#N/A</x:v>
      </x:c>
      <x:c r="Q10" s="67" t="e">
        <x:f>IF('Dashboard'!$C$21="Yes",'Annual Values'!R10,NA())</x:f>
        <x:v>#N/A</x:v>
      </x:c>
    </x:row>
    <x:row r="11">
      <x:c r="A11" s="45" t="n">
        <x:f>'Annual Values'!A11</x:f>
        <x:v>2006</x:v>
      </x:c>
      <x:c r="B11" s="67" t="e">
        <x:f>IF('Dashboard'!$C$6="Yes",'Annual Values'!C11,NA())</x:f>
        <x:v>#N/A</x:v>
      </x:c>
      <x:c r="C11" s="67" t="e">
        <x:f>IF('Dashboard'!$C$7="Yes",'Annual Values'!D11,NA())</x:f>
        <x:v>#N/A</x:v>
      </x:c>
      <x:c r="D11" s="67" t="e">
        <x:f>IF('Dashboard'!$C$8="Yes",'Annual Values'!E11,NA())</x:f>
        <x:v>#N/A</x:v>
      </x:c>
      <x:c r="E11" s="67" t="n">
        <x:f>IF('Dashboard'!$C$9="Yes",'Annual Values'!F11,NA())</x:f>
        <x:v>61792.672</x:v>
      </x:c>
      <x:c r="F11" s="67" t="e">
        <x:f>IF('Dashboard'!$C$10="Yes",'Annual Values'!G11,NA())</x:f>
        <x:v>#N/A</x:v>
      </x:c>
      <x:c r="G11" s="67" t="e">
        <x:f>IF('Dashboard'!$C$11="Yes",'Annual Values'!H11,NA())</x:f>
        <x:v>#N/A</x:v>
      </x:c>
      <x:c r="H11" s="67" t="e">
        <x:f>IF('Dashboard'!$C$12="Yes",'Annual Values'!I11,NA())</x:f>
        <x:v>#N/A</x:v>
      </x:c>
      <x:c r="I11" s="67" t="e">
        <x:f>IF('Dashboard'!$C$13="Yes",'Annual Values'!J11,NA())</x:f>
        <x:v>#N/A</x:v>
      </x:c>
      <x:c r="J11" s="67" t="e">
        <x:f>IF('Dashboard'!$C$14="Yes",'Annual Values'!K11,NA())</x:f>
        <x:v>#N/A</x:v>
      </x:c>
      <x:c r="K11" s="67" t="e">
        <x:f>IF('Dashboard'!$C$15="Yes",'Annual Values'!L11,NA())</x:f>
        <x:v>#N/A</x:v>
      </x:c>
      <x:c r="L11" s="67" t="e">
        <x:f>IF('Dashboard'!$C$16="Yes",'Annual Values'!M11,NA())</x:f>
        <x:v>#N/A</x:v>
      </x:c>
      <x:c r="M11" s="67" t="n">
        <x:f>IF('Dashboard'!$C$17="Yes",'Annual Values'!N11,NA())</x:f>
        <x:v>73658.92307692308</x:v>
      </x:c>
      <x:c r="N11" s="67" t="e">
        <x:f>IF('Dashboard'!$C$18="Yes",'Annual Values'!O11,NA())</x:f>
        <x:v>#N/A</x:v>
      </x:c>
      <x:c r="O11" s="67" t="e">
        <x:f>IF('Dashboard'!$C$19="Yes",'Annual Values'!P11,NA())</x:f>
        <x:v>#N/A</x:v>
      </x:c>
      <x:c r="P11" s="67" t="e">
        <x:f>IF('Dashboard'!$C$20="Yes",'Annual Values'!Q11,NA())</x:f>
        <x:v>#N/A</x:v>
      </x:c>
      <x:c r="Q11" s="67" t="e">
        <x:f>IF('Dashboard'!$C$21="Yes",'Annual Values'!R11,NA())</x:f>
        <x:v>#N/A</x:v>
      </x:c>
    </x:row>
    <x:row r="12">
      <x:c r="A12" s="45" t="n">
        <x:f>'Annual Values'!A12</x:f>
        <x:v>2007</x:v>
      </x:c>
      <x:c r="B12" s="67" t="e">
        <x:f>IF('Dashboard'!$C$6="Yes",'Annual Values'!C12,NA())</x:f>
        <x:v>#N/A</x:v>
      </x:c>
      <x:c r="C12" s="67" t="e">
        <x:f>IF('Dashboard'!$C$7="Yes",'Annual Values'!D12,NA())</x:f>
        <x:v>#N/A</x:v>
      </x:c>
      <x:c r="D12" s="67" t="e">
        <x:f>IF('Dashboard'!$C$8="Yes",'Annual Values'!E12,NA())</x:f>
        <x:v>#N/A</x:v>
      </x:c>
      <x:c r="E12" s="67" t="n">
        <x:f>IF('Dashboard'!$C$9="Yes",'Annual Values'!F12,NA())</x:f>
        <x:v>62909.664</x:v>
      </x:c>
      <x:c r="F12" s="67" t="e">
        <x:f>IF('Dashboard'!$C$10="Yes",'Annual Values'!G12,NA())</x:f>
        <x:v>#N/A</x:v>
      </x:c>
      <x:c r="G12" s="67" t="e">
        <x:f>IF('Dashboard'!$C$11="Yes",'Annual Values'!H12,NA())</x:f>
        <x:v>#N/A</x:v>
      </x:c>
      <x:c r="H12" s="67" t="e">
        <x:f>IF('Dashboard'!$C$12="Yes",'Annual Values'!I12,NA())</x:f>
        <x:v>#N/A</x:v>
      </x:c>
      <x:c r="I12" s="67" t="e">
        <x:f>IF('Dashboard'!$C$13="Yes",'Annual Values'!J12,NA())</x:f>
        <x:v>#N/A</x:v>
      </x:c>
      <x:c r="J12" s="67" t="e">
        <x:f>IF('Dashboard'!$C$14="Yes",'Annual Values'!K12,NA())</x:f>
        <x:v>#N/A</x:v>
      </x:c>
      <x:c r="K12" s="67" t="e">
        <x:f>IF('Dashboard'!$C$15="Yes",'Annual Values'!L12,NA())</x:f>
        <x:v>#N/A</x:v>
      </x:c>
      <x:c r="L12" s="67" t="e">
        <x:f>IF('Dashboard'!$C$16="Yes",'Annual Values'!M12,NA())</x:f>
        <x:v>#N/A</x:v>
      </x:c>
      <x:c r="M12" s="67" t="n">
        <x:f>IF('Dashboard'!$C$17="Yes",'Annual Values'!N12,NA())</x:f>
        <x:v>74558.46153846155</x:v>
      </x:c>
      <x:c r="N12" s="67" t="e">
        <x:f>IF('Dashboard'!$C$18="Yes",'Annual Values'!O12,NA())</x:f>
        <x:v>#N/A</x:v>
      </x:c>
      <x:c r="O12" s="67" t="e">
        <x:f>IF('Dashboard'!$C$19="Yes",'Annual Values'!P12,NA())</x:f>
        <x:v>#N/A</x:v>
      </x:c>
      <x:c r="P12" s="67" t="e">
        <x:f>IF('Dashboard'!$C$20="Yes",'Annual Values'!Q12,NA())</x:f>
        <x:v>#N/A</x:v>
      </x:c>
      <x:c r="Q12" s="67" t="e">
        <x:f>IF('Dashboard'!$C$21="Yes",'Annual Values'!R12,NA())</x:f>
        <x:v>#N/A</x:v>
      </x:c>
    </x:row>
    <x:row r="13">
      <x:c r="A13" s="45" t="n">
        <x:f>'Annual Values'!A13</x:f>
        <x:v>2008</x:v>
      </x:c>
      <x:c r="B13" s="67" t="e">
        <x:f>IF('Dashboard'!$C$6="Yes",'Annual Values'!C13,NA())</x:f>
        <x:v>#N/A</x:v>
      </x:c>
      <x:c r="C13" s="67" t="e">
        <x:f>IF('Dashboard'!$C$7="Yes",'Annual Values'!D13,NA())</x:f>
        <x:v>#N/A</x:v>
      </x:c>
      <x:c r="D13" s="67" t="e">
        <x:f>IF('Dashboard'!$C$8="Yes",'Annual Values'!E13,NA())</x:f>
        <x:v>#N/A</x:v>
      </x:c>
      <x:c r="E13" s="67" t="n">
        <x:f>IF('Dashboard'!$C$9="Yes",'Annual Values'!F13,NA())</x:f>
        <x:v>64792.479999999996</x:v>
      </x:c>
      <x:c r="F13" s="67" t="e">
        <x:f>IF('Dashboard'!$C$10="Yes",'Annual Values'!G13,NA())</x:f>
        <x:v>#N/A</x:v>
      </x:c>
      <x:c r="G13" s="67" t="e">
        <x:f>IF('Dashboard'!$C$11="Yes",'Annual Values'!H13,NA())</x:f>
        <x:v>#N/A</x:v>
      </x:c>
      <x:c r="H13" s="67" t="e">
        <x:f>IF('Dashboard'!$C$12="Yes",'Annual Values'!I13,NA())</x:f>
        <x:v>#N/A</x:v>
      </x:c>
      <x:c r="I13" s="67" t="e">
        <x:f>IF('Dashboard'!$C$13="Yes",'Annual Values'!J13,NA())</x:f>
        <x:v>#N/A</x:v>
      </x:c>
      <x:c r="J13" s="67" t="e">
        <x:f>IF('Dashboard'!$C$14="Yes",'Annual Values'!K13,NA())</x:f>
        <x:v>#N/A</x:v>
      </x:c>
      <x:c r="K13" s="67" t="e">
        <x:f>IF('Dashboard'!$C$15="Yes",'Annual Values'!L13,NA())</x:f>
        <x:v>#N/A</x:v>
      </x:c>
      <x:c r="L13" s="67" t="e">
        <x:f>IF('Dashboard'!$C$16="Yes",'Annual Values'!M13,NA())</x:f>
        <x:v>#N/A</x:v>
      </x:c>
      <x:c r="M13" s="67" t="n">
        <x:f>IF('Dashboard'!$C$17="Yes",'Annual Values'!N13,NA())</x:f>
        <x:v>79060.89230769232</x:v>
      </x:c>
      <x:c r="N13" s="67" t="e">
        <x:f>IF('Dashboard'!$C$18="Yes",'Annual Values'!O13,NA())</x:f>
        <x:v>#N/A</x:v>
      </x:c>
      <x:c r="O13" s="67" t="e">
        <x:f>IF('Dashboard'!$C$19="Yes",'Annual Values'!P13,NA())</x:f>
        <x:v>#N/A</x:v>
      </x:c>
      <x:c r="P13" s="67" t="e">
        <x:f>IF('Dashboard'!$C$20="Yes",'Annual Values'!Q13,NA())</x:f>
        <x:v>#N/A</x:v>
      </x:c>
      <x:c r="Q13" s="67" t="e">
        <x:f>IF('Dashboard'!$C$21="Yes",'Annual Values'!R13,NA())</x:f>
        <x:v>#N/A</x:v>
      </x:c>
    </x:row>
    <x:row r="14">
      <x:c r="A14" s="45" t="n">
        <x:f>'Annual Values'!A14</x:f>
        <x:v>2009</x:v>
      </x:c>
      <x:c r="B14" s="67" t="e">
        <x:f>IF('Dashboard'!$C$6="Yes",'Annual Values'!C14,NA())</x:f>
        <x:v>#N/A</x:v>
      </x:c>
      <x:c r="C14" s="67" t="e">
        <x:f>IF('Dashboard'!$C$7="Yes",'Annual Values'!D14,NA())</x:f>
        <x:v>#N/A</x:v>
      </x:c>
      <x:c r="D14" s="67" t="e">
        <x:f>IF('Dashboard'!$C$8="Yes",'Annual Values'!E14,NA())</x:f>
        <x:v>#N/A</x:v>
      </x:c>
      <x:c r="E14" s="67" t="n">
        <x:f>IF('Dashboard'!$C$9="Yes",'Annual Values'!F14,NA())</x:f>
        <x:v>67072.096</x:v>
      </x:c>
      <x:c r="F14" s="67" t="e">
        <x:f>IF('Dashboard'!$C$10="Yes",'Annual Values'!G14,NA())</x:f>
        <x:v>#N/A</x:v>
      </x:c>
      <x:c r="G14" s="67" t="e">
        <x:f>IF('Dashboard'!$C$11="Yes",'Annual Values'!H14,NA())</x:f>
        <x:v>#N/A</x:v>
      </x:c>
      <x:c r="H14" s="67" t="e">
        <x:f>IF('Dashboard'!$C$12="Yes",'Annual Values'!I14,NA())</x:f>
        <x:v>#N/A</x:v>
      </x:c>
      <x:c r="I14" s="67" t="e">
        <x:f>IF('Dashboard'!$C$13="Yes",'Annual Values'!J14,NA())</x:f>
        <x:v>#N/A</x:v>
      </x:c>
      <x:c r="J14" s="67" t="e">
        <x:f>IF('Dashboard'!$C$14="Yes",'Annual Values'!K14,NA())</x:f>
        <x:v>#N/A</x:v>
      </x:c>
      <x:c r="K14" s="67" t="e">
        <x:f>IF('Dashboard'!$C$15="Yes",'Annual Values'!L14,NA())</x:f>
        <x:v>#N/A</x:v>
      </x:c>
      <x:c r="L14" s="67" t="e">
        <x:f>IF('Dashboard'!$C$16="Yes",'Annual Values'!M14,NA())</x:f>
        <x:v>#N/A</x:v>
      </x:c>
      <x:c r="M14" s="67" t="n">
        <x:f>IF('Dashboard'!$C$17="Yes",'Annual Values'!N14,NA())</x:f>
        <x:v>84078.52307692308</x:v>
      </x:c>
      <x:c r="N14" s="67" t="e">
        <x:f>IF('Dashboard'!$C$18="Yes",'Annual Values'!O14,NA())</x:f>
        <x:v>#N/A</x:v>
      </x:c>
      <x:c r="O14" s="67" t="e">
        <x:f>IF('Dashboard'!$C$19="Yes",'Annual Values'!P14,NA())</x:f>
        <x:v>#N/A</x:v>
      </x:c>
      <x:c r="P14" s="67" t="e">
        <x:f>IF('Dashboard'!$C$20="Yes",'Annual Values'!Q14,NA())</x:f>
        <x:v>#N/A</x:v>
      </x:c>
      <x:c r="Q14" s="67" t="e">
        <x:f>IF('Dashboard'!$C$21="Yes",'Annual Values'!R14,NA())</x:f>
        <x:v>#N/A</x:v>
      </x:c>
    </x:row>
    <x:row r="15">
      <x:c r="A15" s="45" t="n">
        <x:f>'Annual Values'!A15</x:f>
        <x:v>2010</x:v>
      </x:c>
      <x:c r="B15" s="67" t="e">
        <x:f>IF('Dashboard'!$C$6="Yes",'Annual Values'!C15,NA())</x:f>
        <x:v>#N/A</x:v>
      </x:c>
      <x:c r="C15" s="67" t="e">
        <x:f>IF('Dashboard'!$C$7="Yes",'Annual Values'!D15,NA())</x:f>
        <x:v>#N/A</x:v>
      </x:c>
      <x:c r="D15" s="67" t="e">
        <x:f>IF('Dashboard'!$C$8="Yes",'Annual Values'!E15,NA())</x:f>
        <x:v>#N/A</x:v>
      </x:c>
      <x:c r="E15" s="67" t="n">
        <x:f>IF('Dashboard'!$C$9="Yes",'Annual Values'!F15,NA())</x:f>
        <x:v>68258.528</x:v>
      </x:c>
      <x:c r="F15" s="67" t="e">
        <x:f>IF('Dashboard'!$C$10="Yes",'Annual Values'!G15,NA())</x:f>
        <x:v>#N/A</x:v>
      </x:c>
      <x:c r="G15" s="67" t="e">
        <x:f>IF('Dashboard'!$C$11="Yes",'Annual Values'!H15,NA())</x:f>
        <x:v>#N/A</x:v>
      </x:c>
      <x:c r="H15" s="67" t="e">
        <x:f>IF('Dashboard'!$C$12="Yes",'Annual Values'!I15,NA())</x:f>
        <x:v>#N/A</x:v>
      </x:c>
      <x:c r="I15" s="67" t="e">
        <x:f>IF('Dashboard'!$C$13="Yes",'Annual Values'!J15,NA())</x:f>
        <x:v>#N/A</x:v>
      </x:c>
      <x:c r="J15" s="67" t="e">
        <x:f>IF('Dashboard'!$C$14="Yes",'Annual Values'!K15,NA())</x:f>
        <x:v>#N/A</x:v>
      </x:c>
      <x:c r="K15" s="67" t="e">
        <x:f>IF('Dashboard'!$C$15="Yes",'Annual Values'!L15,NA())</x:f>
        <x:v>#N/A</x:v>
      </x:c>
      <x:c r="L15" s="67" t="e">
        <x:f>IF('Dashboard'!$C$16="Yes",'Annual Values'!M15,NA())</x:f>
        <x:v>#N/A</x:v>
      </x:c>
      <x:c r="M15" s="67" t="n">
        <x:f>IF('Dashboard'!$C$17="Yes",'Annual Values'!N15,NA())</x:f>
        <x:v>84267.35384615386</x:v>
      </x:c>
      <x:c r="N15" s="67" t="e">
        <x:f>IF('Dashboard'!$C$18="Yes",'Annual Values'!O15,NA())</x:f>
        <x:v>#N/A</x:v>
      </x:c>
      <x:c r="O15" s="67" t="e">
        <x:f>IF('Dashboard'!$C$19="Yes",'Annual Values'!P15,NA())</x:f>
        <x:v>#N/A</x:v>
      </x:c>
      <x:c r="P15" s="67" t="e">
        <x:f>IF('Dashboard'!$C$20="Yes",'Annual Values'!Q15,NA())</x:f>
        <x:v>#N/A</x:v>
      </x:c>
      <x:c r="Q15" s="67" t="e">
        <x:f>IF('Dashboard'!$C$21="Yes",'Annual Values'!R15,NA())</x:f>
        <x:v>#N/A</x:v>
      </x:c>
    </x:row>
    <x:row r="16">
      <x:c r="A16" s="45" t="n">
        <x:f>'Annual Values'!A16</x:f>
        <x:v>2011</x:v>
      </x:c>
      <x:c r="B16" s="67" t="e">
        <x:f>IF('Dashboard'!$C$6="Yes",'Annual Values'!C16,NA())</x:f>
        <x:v>#N/A</x:v>
      </x:c>
      <x:c r="C16" s="67" t="e">
        <x:f>IF('Dashboard'!$C$7="Yes",'Annual Values'!D16,NA())</x:f>
        <x:v>#N/A</x:v>
      </x:c>
      <x:c r="D16" s="67" t="e">
        <x:f>IF('Dashboard'!$C$8="Yes",'Annual Values'!E16,NA())</x:f>
        <x:v>#N/A</x:v>
      </x:c>
      <x:c r="E16" s="67" t="n">
        <x:f>IF('Dashboard'!$C$9="Yes",'Annual Values'!F16,NA())</x:f>
        <x:v>68258.528</x:v>
      </x:c>
      <x:c r="F16" s="67" t="e">
        <x:f>IF('Dashboard'!$C$10="Yes",'Annual Values'!G16,NA())</x:f>
        <x:v>#N/A</x:v>
      </x:c>
      <x:c r="G16" s="67" t="e">
        <x:f>IF('Dashboard'!$C$11="Yes",'Annual Values'!H16,NA())</x:f>
        <x:v>#N/A</x:v>
      </x:c>
      <x:c r="H16" s="67" t="e">
        <x:f>IF('Dashboard'!$C$12="Yes",'Annual Values'!I16,NA())</x:f>
        <x:v>#N/A</x:v>
      </x:c>
      <x:c r="I16" s="67" t="e">
        <x:f>IF('Dashboard'!$C$13="Yes",'Annual Values'!J16,NA())</x:f>
        <x:v>#N/A</x:v>
      </x:c>
      <x:c r="J16" s="67" t="e">
        <x:f>IF('Dashboard'!$C$14="Yes",'Annual Values'!K16,NA())</x:f>
        <x:v>#N/A</x:v>
      </x:c>
      <x:c r="K16" s="67" t="e">
        <x:f>IF('Dashboard'!$C$15="Yes",'Annual Values'!L16,NA())</x:f>
        <x:v>#N/A</x:v>
      </x:c>
      <x:c r="L16" s="67" t="e">
        <x:f>IF('Dashboard'!$C$16="Yes",'Annual Values'!M16,NA())</x:f>
        <x:v>#N/A</x:v>
      </x:c>
      <x:c r="M16" s="67" t="n">
        <x:f>IF('Dashboard'!$C$17="Yes",'Annual Values'!N16,NA())</x:f>
        <x:v>86893.9076923077</x:v>
      </x:c>
      <x:c r="N16" s="67" t="e">
        <x:f>IF('Dashboard'!$C$18="Yes",'Annual Values'!O16,NA())</x:f>
        <x:v>#N/A</x:v>
      </x:c>
      <x:c r="O16" s="67" t="e">
        <x:f>IF('Dashboard'!$C$19="Yes",'Annual Values'!P16,NA())</x:f>
        <x:v>#N/A</x:v>
      </x:c>
      <x:c r="P16" s="67" t="e">
        <x:f>IF('Dashboard'!$C$20="Yes",'Annual Values'!Q16,NA())</x:f>
        <x:v>#N/A</x:v>
      </x:c>
      <x:c r="Q16" s="67" t="e">
        <x:f>IF('Dashboard'!$C$21="Yes",'Annual Values'!R16,NA())</x:f>
        <x:v>#N/A</x:v>
      </x:c>
    </x:row>
    <x:row r="17">
      <x:c r="A17" s="45" t="n">
        <x:f>'Annual Values'!A17</x:f>
        <x:v>2012</x:v>
      </x:c>
      <x:c r="B17" s="67" t="e">
        <x:f>IF('Dashboard'!$C$6="Yes",'Annual Values'!C17,NA())</x:f>
        <x:v>#N/A</x:v>
      </x:c>
      <x:c r="C17" s="67" t="e">
        <x:f>IF('Dashboard'!$C$7="Yes",'Annual Values'!D17,NA())</x:f>
        <x:v>#N/A</x:v>
      </x:c>
      <x:c r="D17" s="67" t="e">
        <x:f>IF('Dashboard'!$C$8="Yes",'Annual Values'!E17,NA())</x:f>
        <x:v>#N/A</x:v>
      </x:c>
      <x:c r="E17" s="67" t="n">
        <x:f>IF('Dashboard'!$C$9="Yes",'Annual Values'!F17,NA())</x:f>
        <x:v>68258.528</x:v>
      </x:c>
      <x:c r="F17" s="67" t="e">
        <x:f>IF('Dashboard'!$C$10="Yes",'Annual Values'!G17,NA())</x:f>
        <x:v>#N/A</x:v>
      </x:c>
      <x:c r="G17" s="67" t="e">
        <x:f>IF('Dashboard'!$C$11="Yes",'Annual Values'!H17,NA())</x:f>
        <x:v>#N/A</x:v>
      </x:c>
      <x:c r="H17" s="67" t="e">
        <x:f>IF('Dashboard'!$C$12="Yes",'Annual Values'!I17,NA())</x:f>
        <x:v>#N/A</x:v>
      </x:c>
      <x:c r="I17" s="67" t="e">
        <x:f>IF('Dashboard'!$C$13="Yes",'Annual Values'!J17,NA())</x:f>
        <x:v>#N/A</x:v>
      </x:c>
      <x:c r="J17" s="67" t="e">
        <x:f>IF('Dashboard'!$C$14="Yes",'Annual Values'!K17,NA())</x:f>
        <x:v>#N/A</x:v>
      </x:c>
      <x:c r="K17" s="67" t="e">
        <x:f>IF('Dashboard'!$C$15="Yes",'Annual Values'!L17,NA())</x:f>
        <x:v>#N/A</x:v>
      </x:c>
      <x:c r="L17" s="67" t="e">
        <x:f>IF('Dashboard'!$C$16="Yes",'Annual Values'!M17,NA())</x:f>
        <x:v>#N/A</x:v>
      </x:c>
      <x:c r="M17" s="67" t="n">
        <x:f>IF('Dashboard'!$C$17="Yes",'Annual Values'!N17,NA())</x:f>
        <x:v>89062.18461538461</x:v>
      </x:c>
      <x:c r="N17" s="67" t="e">
        <x:f>IF('Dashboard'!$C$18="Yes",'Annual Values'!O17,NA())</x:f>
        <x:v>#N/A</x:v>
      </x:c>
      <x:c r="O17" s="67" t="e">
        <x:f>IF('Dashboard'!$C$19="Yes",'Annual Values'!P17,NA())</x:f>
        <x:v>#N/A</x:v>
      </x:c>
      <x:c r="P17" s="67" t="e">
        <x:f>IF('Dashboard'!$C$20="Yes",'Annual Values'!Q17,NA())</x:f>
        <x:v>#N/A</x:v>
      </x:c>
      <x:c r="Q17" s="67" t="e">
        <x:f>IF('Dashboard'!$C$21="Yes",'Annual Values'!R17,NA())</x:f>
        <x:v>#N/A</x:v>
      </x:c>
    </x:row>
    <x:row r="18">
      <x:c r="A18" s="45" t="n">
        <x:f>'Annual Values'!A18</x:f>
        <x:v>2013</x:v>
      </x:c>
      <x:c r="B18" s="67" t="e">
        <x:f>IF('Dashboard'!$C$6="Yes",'Annual Values'!C18,NA())</x:f>
        <x:v>#N/A</x:v>
      </x:c>
      <x:c r="C18" s="67" t="e">
        <x:f>IF('Dashboard'!$C$7="Yes",'Annual Values'!D18,NA())</x:f>
        <x:v>#N/A</x:v>
      </x:c>
      <x:c r="D18" s="67" t="e">
        <x:f>IF('Dashboard'!$C$8="Yes",'Annual Values'!E18,NA())</x:f>
        <x:v>#N/A</x:v>
      </x:c>
      <x:c r="E18" s="67" t="n">
        <x:f>IF('Dashboard'!$C$9="Yes",'Annual Values'!F18,NA())</x:f>
        <x:v>66675.921</x:v>
      </x:c>
      <x:c r="F18" s="67" t="e">
        <x:f>IF('Dashboard'!$C$10="Yes",'Annual Values'!G18,NA())</x:f>
        <x:v>#N/A</x:v>
      </x:c>
      <x:c r="G18" s="67" t="e">
        <x:f>IF('Dashboard'!$C$11="Yes",'Annual Values'!H18,NA())</x:f>
        <x:v>#N/A</x:v>
      </x:c>
      <x:c r="H18" s="67" t="e">
        <x:f>IF('Dashboard'!$C$12="Yes",'Annual Values'!I18,NA())</x:f>
        <x:v>#N/A</x:v>
      </x:c>
      <x:c r="I18" s="67" t="e">
        <x:f>IF('Dashboard'!$C$13="Yes",'Annual Values'!J18,NA())</x:f>
        <x:v>#N/A</x:v>
      </x:c>
      <x:c r="J18" s="67" t="e">
        <x:f>IF('Dashboard'!$C$14="Yes",'Annual Values'!K18,NA())</x:f>
        <x:v>#N/A</x:v>
      </x:c>
      <x:c r="K18" s="67" t="e">
        <x:f>IF('Dashboard'!$C$15="Yes",'Annual Values'!L18,NA())</x:f>
        <x:v>#N/A</x:v>
      </x:c>
      <x:c r="L18" s="67" t="e">
        <x:f>IF('Dashboard'!$C$16="Yes",'Annual Values'!M18,NA())</x:f>
        <x:v>#N/A</x:v>
      </x:c>
      <x:c r="M18" s="67" t="n">
        <x:f>IF('Dashboard'!$C$17="Yes",'Annual Values'!N18,NA())</x:f>
        <x:v>89948.43076923078</x:v>
      </x:c>
      <x:c r="N18" s="67" t="e">
        <x:f>IF('Dashboard'!$C$18="Yes",'Annual Values'!O18,NA())</x:f>
        <x:v>#N/A</x:v>
      </x:c>
      <x:c r="O18" s="67" t="e">
        <x:f>IF('Dashboard'!$C$19="Yes",'Annual Values'!P18,NA())</x:f>
        <x:v>#N/A</x:v>
      </x:c>
      <x:c r="P18" s="67" t="e">
        <x:f>IF('Dashboard'!$C$20="Yes",'Annual Values'!Q18,NA())</x:f>
        <x:v>#N/A</x:v>
      </x:c>
      <x:c r="Q18" s="67" t="e">
        <x:f>IF('Dashboard'!$C$21="Yes",'Annual Values'!R18,NA())</x:f>
        <x:v>#N/A</x:v>
      </x:c>
    </x:row>
    <x:row r="19">
      <x:c r="A19" s="45" t="n">
        <x:f>'Annual Values'!A19</x:f>
        <x:v>2014</x:v>
      </x:c>
      <x:c r="B19" s="67" t="e">
        <x:f>IF('Dashboard'!$C$6="Yes",'Annual Values'!C19,NA())</x:f>
        <x:v>#N/A</x:v>
      </x:c>
      <x:c r="C19" s="67" t="e">
        <x:f>IF('Dashboard'!$C$7="Yes",'Annual Values'!D19,NA())</x:f>
        <x:v>#N/A</x:v>
      </x:c>
      <x:c r="D19" s="67" t="e">
        <x:f>IF('Dashboard'!$C$8="Yes",'Annual Values'!E19,NA())</x:f>
        <x:v>#N/A</x:v>
      </x:c>
      <x:c r="E19" s="67" t="n">
        <x:f>IF('Dashboard'!$C$9="Yes",'Annual Values'!F19,NA())</x:f>
        <x:v>66439.132</x:v>
      </x:c>
      <x:c r="F19" s="67" t="e">
        <x:f>IF('Dashboard'!$C$10="Yes",'Annual Values'!G19,NA())</x:f>
        <x:v>#N/A</x:v>
      </x:c>
      <x:c r="G19" s="67" t="e">
        <x:f>IF('Dashboard'!$C$11="Yes",'Annual Values'!H19,NA())</x:f>
        <x:v>#N/A</x:v>
      </x:c>
      <x:c r="H19" s="67" t="e">
        <x:f>IF('Dashboard'!$C$12="Yes",'Annual Values'!I19,NA())</x:f>
        <x:v>#N/A</x:v>
      </x:c>
      <x:c r="I19" s="67" t="e">
        <x:f>IF('Dashboard'!$C$13="Yes",'Annual Values'!J19,NA())</x:f>
        <x:v>#N/A</x:v>
      </x:c>
      <x:c r="J19" s="67" t="e">
        <x:f>IF('Dashboard'!$C$14="Yes",'Annual Values'!K19,NA())</x:f>
        <x:v>#N/A</x:v>
      </x:c>
      <x:c r="K19" s="67" t="e">
        <x:f>IF('Dashboard'!$C$15="Yes",'Annual Values'!L19,NA())</x:f>
        <x:v>#N/A</x:v>
      </x:c>
      <x:c r="L19" s="67" t="e">
        <x:f>IF('Dashboard'!$C$16="Yes",'Annual Values'!M19,NA())</x:f>
        <x:v>#N/A</x:v>
      </x:c>
      <x:c r="M19" s="67" t="n">
        <x:f>IF('Dashboard'!$C$17="Yes",'Annual Values'!N19,NA())</x:f>
        <x:v>91433.44615384616</x:v>
      </x:c>
      <x:c r="N19" s="67" t="e">
        <x:f>IF('Dashboard'!$C$18="Yes",'Annual Values'!O19,NA())</x:f>
        <x:v>#N/A</x:v>
      </x:c>
      <x:c r="O19" s="67" t="e">
        <x:f>IF('Dashboard'!$C$19="Yes",'Annual Values'!P19,NA())</x:f>
        <x:v>#N/A</x:v>
      </x:c>
      <x:c r="P19" s="67" t="e">
        <x:f>IF('Dashboard'!$C$20="Yes",'Annual Values'!Q19,NA())</x:f>
        <x:v>#N/A</x:v>
      </x:c>
      <x:c r="Q19" s="67" t="e">
        <x:f>IF('Dashboard'!$C$21="Yes",'Annual Values'!R19,NA())</x:f>
        <x:v>#N/A</x:v>
      </x:c>
    </x:row>
    <x:row r="20">
      <x:c r="A20" s="45" t="n">
        <x:f>'Annual Values'!A20</x:f>
        <x:v>2015</x:v>
      </x:c>
      <x:c r="B20" s="67" t="e">
        <x:f>IF('Dashboard'!$C$6="Yes",'Annual Values'!C20,NA())</x:f>
        <x:v>#N/A</x:v>
      </x:c>
      <x:c r="C20" s="67" t="e">
        <x:f>IF('Dashboard'!$C$7="Yes",'Annual Values'!D20,NA())</x:f>
        <x:v>#N/A</x:v>
      </x:c>
      <x:c r="D20" s="67" t="e">
        <x:f>IF('Dashboard'!$C$8="Yes",'Annual Values'!E20,NA())</x:f>
        <x:v>#N/A</x:v>
      </x:c>
      <x:c r="E20" s="67" t="n">
        <x:f>IF('Dashboard'!$C$9="Yes",'Annual Values'!F20,NA())</x:f>
        <x:v>67103.552</x:v>
      </x:c>
      <x:c r="F20" s="67" t="e">
        <x:f>IF('Dashboard'!$C$10="Yes",'Annual Values'!G20,NA())</x:f>
        <x:v>#N/A</x:v>
      </x:c>
      <x:c r="G20" s="67" t="e">
        <x:f>IF('Dashboard'!$C$11="Yes",'Annual Values'!H20,NA())</x:f>
        <x:v>#N/A</x:v>
      </x:c>
      <x:c r="H20" s="67" t="e">
        <x:f>IF('Dashboard'!$C$12="Yes",'Annual Values'!I20,NA())</x:f>
        <x:v>#N/A</x:v>
      </x:c>
      <x:c r="I20" s="67" t="e">
        <x:f>IF('Dashboard'!$C$13="Yes",'Annual Values'!J20,NA())</x:f>
        <x:v>#N/A</x:v>
      </x:c>
      <x:c r="J20" s="67" t="e">
        <x:f>IF('Dashboard'!$C$14="Yes",'Annual Values'!K20,NA())</x:f>
        <x:v>#N/A</x:v>
      </x:c>
      <x:c r="K20" s="67" t="e">
        <x:f>IF('Dashboard'!$C$15="Yes",'Annual Values'!L20,NA())</x:f>
        <x:v>#N/A</x:v>
      </x:c>
      <x:c r="L20" s="67" t="e">
        <x:f>IF('Dashboard'!$C$16="Yes",'Annual Values'!M20,NA())</x:f>
        <x:v>#N/A</x:v>
      </x:c>
      <x:c r="M20" s="67" t="n">
        <x:f>IF('Dashboard'!$C$17="Yes",'Annual Values'!N20,NA())</x:f>
        <x:v>90533.35384615386</x:v>
      </x:c>
      <x:c r="N20" s="67" t="e">
        <x:f>IF('Dashboard'!$C$18="Yes",'Annual Values'!O20,NA())</x:f>
        <x:v>#N/A</x:v>
      </x:c>
      <x:c r="O20" s="67" t="e">
        <x:f>IF('Dashboard'!$C$19="Yes",'Annual Values'!P20,NA())</x:f>
        <x:v>#N/A</x:v>
      </x:c>
      <x:c r="P20" s="67" t="e">
        <x:f>IF('Dashboard'!$C$20="Yes",'Annual Values'!Q20,NA())</x:f>
        <x:v>#N/A</x:v>
      </x:c>
      <x:c r="Q20" s="67" t="e">
        <x:f>IF('Dashboard'!$C$21="Yes",'Annual Values'!R20,NA())</x:f>
        <x:v>#N/A</x:v>
      </x:c>
    </x:row>
    <x:row r="21">
      <x:c r="A21" s="45" t="n">
        <x:f>'Annual Values'!A21</x:f>
        <x:v>2016</x:v>
      </x:c>
      <x:c r="B21" s="67" t="e">
        <x:f>IF('Dashboard'!$C$6="Yes",'Annual Values'!C21,NA())</x:f>
        <x:v>#N/A</x:v>
      </x:c>
      <x:c r="C21" s="67" t="e">
        <x:f>IF('Dashboard'!$C$7="Yes",'Annual Values'!D21,NA())</x:f>
        <x:v>#N/A</x:v>
      </x:c>
      <x:c r="D21" s="67" t="e">
        <x:f>IF('Dashboard'!$C$8="Yes",'Annual Values'!E21,NA())</x:f>
        <x:v>#N/A</x:v>
      </x:c>
      <x:c r="E21" s="67" t="n">
        <x:f>IF('Dashboard'!$C$9="Yes",'Annual Values'!F21,NA())</x:f>
        <x:v>67887.472</x:v>
      </x:c>
      <x:c r="F21" s="67" t="e">
        <x:f>IF('Dashboard'!$C$10="Yes",'Annual Values'!G21,NA())</x:f>
        <x:v>#N/A</x:v>
      </x:c>
      <x:c r="G21" s="67" t="e">
        <x:f>IF('Dashboard'!$C$11="Yes",'Annual Values'!H21,NA())</x:f>
        <x:v>#N/A</x:v>
      </x:c>
      <x:c r="H21" s="67" t="e">
        <x:f>IF('Dashboard'!$C$12="Yes",'Annual Values'!I21,NA())</x:f>
        <x:v>#N/A</x:v>
      </x:c>
      <x:c r="I21" s="67" t="e">
        <x:f>IF('Dashboard'!$C$13="Yes",'Annual Values'!J21,NA())</x:f>
        <x:v>#N/A</x:v>
      </x:c>
      <x:c r="J21" s="67" t="e">
        <x:f>IF('Dashboard'!$C$14="Yes",'Annual Values'!K21,NA())</x:f>
        <x:v>#N/A</x:v>
      </x:c>
      <x:c r="K21" s="67" t="e">
        <x:f>IF('Dashboard'!$C$15="Yes",'Annual Values'!L21,NA())</x:f>
        <x:v>#N/A</x:v>
      </x:c>
      <x:c r="L21" s="67" t="e">
        <x:f>IF('Dashboard'!$C$16="Yes",'Annual Values'!M21,NA())</x:f>
        <x:v>#N/A</x:v>
      </x:c>
      <x:c r="M21" s="67" t="n">
        <x:f>IF('Dashboard'!$C$17="Yes",'Annual Values'!N21,NA())</x:f>
        <x:v>92451.93846153845</x:v>
      </x:c>
      <x:c r="N21" s="67" t="e">
        <x:f>IF('Dashboard'!$C$18="Yes",'Annual Values'!O21,NA())</x:f>
        <x:v>#N/A</x:v>
      </x:c>
      <x:c r="O21" s="67" t="e">
        <x:f>IF('Dashboard'!$C$19="Yes",'Annual Values'!P21,NA())</x:f>
        <x:v>#N/A</x:v>
      </x:c>
      <x:c r="P21" s="67" t="e">
        <x:f>IF('Dashboard'!$C$20="Yes",'Annual Values'!Q21,NA())</x:f>
        <x:v>#N/A</x:v>
      </x:c>
      <x:c r="Q21" s="67" t="e">
        <x:f>IF('Dashboard'!$C$21="Yes",'Annual Values'!R21,NA())</x:f>
        <x:v>#N/A</x:v>
      </x:c>
    </x:row>
    <x:row r="22">
      <x:c r="A22" s="45" t="n">
        <x:f>'Annual Values'!A22</x:f>
        <x:v>2017</x:v>
      </x:c>
      <x:c r="B22" s="67" t="e">
        <x:f>IF('Dashboard'!$C$6="Yes",'Annual Values'!C22,NA())</x:f>
        <x:v>#N/A</x:v>
      </x:c>
      <x:c r="C22" s="67" t="e">
        <x:f>IF('Dashboard'!$C$7="Yes",'Annual Values'!D22,NA())</x:f>
        <x:v>#N/A</x:v>
      </x:c>
      <x:c r="D22" s="67" t="e">
        <x:f>IF('Dashboard'!$C$8="Yes",'Annual Values'!E22,NA())</x:f>
        <x:v>#N/A</x:v>
      </x:c>
      <x:c r="E22" s="67" t="n">
        <x:f>IF('Dashboard'!$C$9="Yes",'Annual Values'!F22,NA())</x:f>
        <x:v>68992.608</x:v>
      </x:c>
      <x:c r="F22" s="67" t="e">
        <x:f>IF('Dashboard'!$C$10="Yes",'Annual Values'!G22,NA())</x:f>
        <x:v>#N/A</x:v>
      </x:c>
      <x:c r="G22" s="67" t="e">
        <x:f>IF('Dashboard'!$C$11="Yes",'Annual Values'!H22,NA())</x:f>
        <x:v>#N/A</x:v>
      </x:c>
      <x:c r="H22" s="67" t="e">
        <x:f>IF('Dashboard'!$C$12="Yes",'Annual Values'!I22,NA())</x:f>
        <x:v>#N/A</x:v>
      </x:c>
      <x:c r="I22" s="67" t="e">
        <x:f>IF('Dashboard'!$C$13="Yes",'Annual Values'!J22,NA())</x:f>
        <x:v>#N/A</x:v>
      </x:c>
      <x:c r="J22" s="67" t="e">
        <x:f>IF('Dashboard'!$C$14="Yes",'Annual Values'!K22,NA())</x:f>
        <x:v>#N/A</x:v>
      </x:c>
      <x:c r="K22" s="67" t="e">
        <x:f>IF('Dashboard'!$C$15="Yes",'Annual Values'!L22,NA())</x:f>
        <x:v>#N/A</x:v>
      </x:c>
      <x:c r="L22" s="67" t="e">
        <x:f>IF('Dashboard'!$C$16="Yes",'Annual Values'!M22,NA())</x:f>
        <x:v>#N/A</x:v>
      </x:c>
      <x:c r="M22" s="67" t="n">
        <x:f>IF('Dashboard'!$C$17="Yes",'Annual Values'!N22,NA())</x:f>
        <x:v>94587.20000000001</x:v>
      </x:c>
      <x:c r="N22" s="67" t="e">
        <x:f>IF('Dashboard'!$C$18="Yes",'Annual Values'!O22,NA())</x:f>
        <x:v>#N/A</x:v>
      </x:c>
      <x:c r="O22" s="67" t="e">
        <x:f>IF('Dashboard'!$C$19="Yes",'Annual Values'!P22,NA())</x:f>
        <x:v>#N/A</x:v>
      </x:c>
      <x:c r="P22" s="67" t="e">
        <x:f>IF('Dashboard'!$C$20="Yes",'Annual Values'!Q22,NA())</x:f>
        <x:v>#N/A</x:v>
      </x:c>
      <x:c r="Q22" s="67" t="e">
        <x:f>IF('Dashboard'!$C$21="Yes",'Annual Values'!R22,NA())</x:f>
        <x:v>#N/A</x:v>
      </x:c>
    </x:row>
    <x:row r="23">
      <x:c r="A23" s="45" t="n">
        <x:f>'Annual Values'!A23</x:f>
        <x:v>2018</x:v>
      </x:c>
      <x:c r="B23" s="67" t="e">
        <x:f>IF('Dashboard'!$C$6="Yes",'Annual Values'!C23,NA())</x:f>
        <x:v>#N/A</x:v>
      </x:c>
      <x:c r="C23" s="67" t="e">
        <x:f>IF('Dashboard'!$C$7="Yes",'Annual Values'!D23,NA())</x:f>
        <x:v>#N/A</x:v>
      </x:c>
      <x:c r="D23" s="67" t="e">
        <x:f>IF('Dashboard'!$C$8="Yes",'Annual Values'!E23,NA())</x:f>
        <x:v>#N/A</x:v>
      </x:c>
      <x:c r="E23" s="67" t="n">
        <x:f>IF('Dashboard'!$C$9="Yes",'Annual Values'!F23,NA())</x:f>
        <x:v>70146.5</x:v>
      </x:c>
      <x:c r="F23" s="67" t="e">
        <x:f>IF('Dashboard'!$C$10="Yes",'Annual Values'!G23,NA())</x:f>
        <x:v>#N/A</x:v>
      </x:c>
      <x:c r="G23" s="67" t="e">
        <x:f>IF('Dashboard'!$C$11="Yes",'Annual Values'!H23,NA())</x:f>
        <x:v>#N/A</x:v>
      </x:c>
      <x:c r="H23" s="67" t="e">
        <x:f>IF('Dashboard'!$C$12="Yes",'Annual Values'!I23,NA())</x:f>
        <x:v>#N/A</x:v>
      </x:c>
      <x:c r="I23" s="67" t="e">
        <x:f>IF('Dashboard'!$C$13="Yes",'Annual Values'!J23,NA())</x:f>
        <x:v>#N/A</x:v>
      </x:c>
      <x:c r="J23" s="67" t="e">
        <x:f>IF('Dashboard'!$C$14="Yes",'Annual Values'!K23,NA())</x:f>
        <x:v>#N/A</x:v>
      </x:c>
      <x:c r="K23" s="67" t="e">
        <x:f>IF('Dashboard'!$C$15="Yes",'Annual Values'!L23,NA())</x:f>
        <x:v>#N/A</x:v>
      </x:c>
      <x:c r="L23" s="67" t="e">
        <x:f>IF('Dashboard'!$C$16="Yes",'Annual Values'!M23,NA())</x:f>
        <x:v>#N/A</x:v>
      </x:c>
      <x:c r="M23" s="67" t="n">
        <x:f>IF('Dashboard'!$C$17="Yes",'Annual Values'!N23,NA())</x:f>
        <x:v>97752.76923076922</x:v>
      </x:c>
      <x:c r="N23" s="67" t="e">
        <x:f>IF('Dashboard'!$C$18="Yes",'Annual Values'!O23,NA())</x:f>
        <x:v>#N/A</x:v>
      </x:c>
      <x:c r="O23" s="67" t="e">
        <x:f>IF('Dashboard'!$C$19="Yes",'Annual Values'!P23,NA())</x:f>
        <x:v>#N/A</x:v>
      </x:c>
      <x:c r="P23" s="67" t="e">
        <x:f>IF('Dashboard'!$C$20="Yes",'Annual Values'!Q23,NA())</x:f>
        <x:v>#N/A</x:v>
      </x:c>
      <x:c r="Q23" s="67" t="e">
        <x:f>IF('Dashboard'!$C$21="Yes",'Annual Values'!R23,NA())</x:f>
        <x:v>#N/A</x:v>
      </x:c>
    </x:row>
    <x:row r="24">
      <x:c r="A24" s="45" t="n">
        <x:f>'Annual Values'!A24</x:f>
        <x:v>2019</x:v>
      </x:c>
      <x:c r="B24" s="67" t="e">
        <x:f>IF('Dashboard'!$C$6="Yes",'Annual Values'!C24,NA())</x:f>
        <x:v>#N/A</x:v>
      </x:c>
      <x:c r="C24" s="67" t="e">
        <x:f>IF('Dashboard'!$C$7="Yes",'Annual Values'!D24,NA())</x:f>
        <x:v>#N/A</x:v>
      </x:c>
      <x:c r="D24" s="67" t="e">
        <x:f>IF('Dashboard'!$C$8="Yes",'Annual Values'!E24,NA())</x:f>
        <x:v>#N/A</x:v>
      </x:c>
      <x:c r="E24" s="67" t="n">
        <x:f>IF('Dashboard'!$C$9="Yes",'Annual Values'!F24,NA())</x:f>
        <x:v>71313.776</x:v>
      </x:c>
      <x:c r="F24" s="67" t="e">
        <x:f>IF('Dashboard'!$C$10="Yes",'Annual Values'!G24,NA())</x:f>
        <x:v>#N/A</x:v>
      </x:c>
      <x:c r="G24" s="67" t="e">
        <x:f>IF('Dashboard'!$C$11="Yes",'Annual Values'!H24,NA())</x:f>
        <x:v>#N/A</x:v>
      </x:c>
      <x:c r="H24" s="67" t="e">
        <x:f>IF('Dashboard'!$C$12="Yes",'Annual Values'!I24,NA())</x:f>
        <x:v>#N/A</x:v>
      </x:c>
      <x:c r="I24" s="67" t="e">
        <x:f>IF('Dashboard'!$C$13="Yes",'Annual Values'!J24,NA())</x:f>
        <x:v>#N/A</x:v>
      </x:c>
      <x:c r="J24" s="67" t="e">
        <x:f>IF('Dashboard'!$C$14="Yes",'Annual Values'!K24,NA())</x:f>
        <x:v>#N/A</x:v>
      </x:c>
      <x:c r="K24" s="67" t="e">
        <x:f>IF('Dashboard'!$C$15="Yes",'Annual Values'!L24,NA())</x:f>
        <x:v>#N/A</x:v>
      </x:c>
      <x:c r="L24" s="67" t="e">
        <x:f>IF('Dashboard'!$C$16="Yes",'Annual Values'!M24,NA())</x:f>
        <x:v>#N/A</x:v>
      </x:c>
      <x:c r="M24" s="67" t="n">
        <x:f>IF('Dashboard'!$C$17="Yes",'Annual Values'!N24,NA())</x:f>
        <x:v>100113.81538461539</x:v>
      </x:c>
      <x:c r="N24" s="67" t="e">
        <x:f>IF('Dashboard'!$C$18="Yes",'Annual Values'!O24,NA())</x:f>
        <x:v>#N/A</x:v>
      </x:c>
      <x:c r="O24" s="67" t="e">
        <x:f>IF('Dashboard'!$C$19="Yes",'Annual Values'!P24,NA())</x:f>
        <x:v>#N/A</x:v>
      </x:c>
      <x:c r="P24" s="67" t="e">
        <x:f>IF('Dashboard'!$C$20="Yes",'Annual Values'!Q24,NA())</x:f>
        <x:v>#N/A</x:v>
      </x:c>
      <x:c r="Q24" s="67" t="e">
        <x:f>IF('Dashboard'!$C$21="Yes",'Annual Values'!R24,NA())</x:f>
        <x:v>#N/A</x:v>
      </x:c>
    </x:row>
    <x:row r="25">
      <x:c r="A25" s="45" t="n">
        <x:f>'Annual Values'!A25</x:f>
        <x:v>2020</x:v>
      </x:c>
      <x:c r="B25" s="67" t="e">
        <x:f>IF('Dashboard'!$C$6="Yes",'Annual Values'!C25,NA())</x:f>
        <x:v>#N/A</x:v>
      </x:c>
      <x:c r="C25" s="67" t="e">
        <x:f>IF('Dashboard'!$C$7="Yes",'Annual Values'!D25,NA())</x:f>
        <x:v>#N/A</x:v>
      </x:c>
      <x:c r="D25" s="67" t="e">
        <x:f>IF('Dashboard'!$C$8="Yes",'Annual Values'!E25,NA())</x:f>
        <x:v>#N/A</x:v>
      </x:c>
      <x:c r="E25" s="67" t="n">
        <x:f>IF('Dashboard'!$C$9="Yes",'Annual Values'!F25,NA())</x:f>
        <x:v>73345.276</x:v>
      </x:c>
      <x:c r="F25" s="67" t="e">
        <x:f>IF('Dashboard'!$C$10="Yes",'Annual Values'!G25,NA())</x:f>
        <x:v>#N/A</x:v>
      </x:c>
      <x:c r="G25" s="67" t="e">
        <x:f>IF('Dashboard'!$C$11="Yes",'Annual Values'!H25,NA())</x:f>
        <x:v>#N/A</x:v>
      </x:c>
      <x:c r="H25" s="67" t="e">
        <x:f>IF('Dashboard'!$C$12="Yes",'Annual Values'!I25,NA())</x:f>
        <x:v>#N/A</x:v>
      </x:c>
      <x:c r="I25" s="67" t="e">
        <x:f>IF('Dashboard'!$C$13="Yes",'Annual Values'!J25,NA())</x:f>
        <x:v>#N/A</x:v>
      </x:c>
      <x:c r="J25" s="67" t="e">
        <x:f>IF('Dashboard'!$C$14="Yes",'Annual Values'!K25,NA())</x:f>
        <x:v>#N/A</x:v>
      </x:c>
      <x:c r="K25" s="67" t="e">
        <x:f>IF('Dashboard'!$C$15="Yes",'Annual Values'!L25,NA())</x:f>
        <x:v>#N/A</x:v>
      </x:c>
      <x:c r="L25" s="67" t="e">
        <x:f>IF('Dashboard'!$C$16="Yes",'Annual Values'!M25,NA())</x:f>
        <x:v>#N/A</x:v>
      </x:c>
      <x:c r="M25" s="67" t="n">
        <x:f>IF('Dashboard'!$C$17="Yes",'Annual Values'!N25,NA())</x:f>
        <x:v>102867.13846153847</x:v>
      </x:c>
      <x:c r="N25" s="67" t="e">
        <x:f>IF('Dashboard'!$C$18="Yes",'Annual Values'!O25,NA())</x:f>
        <x:v>#N/A</x:v>
      </x:c>
      <x:c r="O25" s="67" t="e">
        <x:f>IF('Dashboard'!$C$19="Yes",'Annual Values'!P25,NA())</x:f>
        <x:v>#N/A</x:v>
      </x:c>
      <x:c r="P25" s="67" t="e">
        <x:f>IF('Dashboard'!$C$20="Yes",'Annual Values'!Q25,NA())</x:f>
        <x:v>#N/A</x:v>
      </x:c>
      <x:c r="Q25" s="67" t="e">
        <x:f>IF('Dashboard'!$C$21="Yes",'Annual Values'!R25,NA())</x:f>
        <x:v>#N/A</x:v>
      </x:c>
    </x:row>
    <x:row r="26">
      <x:c r="A26" s="45" t="n">
        <x:f>'Annual Values'!A26</x:f>
        <x:v>2021</x:v>
      </x:c>
      <x:c r="B26" s="67" t="e">
        <x:f>IF('Dashboard'!$C$6="Yes",'Annual Values'!C26,NA())</x:f>
        <x:v>#N/A</x:v>
      </x:c>
      <x:c r="C26" s="67" t="e">
        <x:f>IF('Dashboard'!$C$7="Yes",'Annual Values'!D26,NA())</x:f>
        <x:v>#N/A</x:v>
      </x:c>
      <x:c r="D26" s="67" t="e">
        <x:f>IF('Dashboard'!$C$8="Yes",'Annual Values'!E26,NA())</x:f>
        <x:v>#N/A</x:v>
      </x:c>
      <x:c r="E26" s="67" t="n">
        <x:f>IF('Dashboard'!$C$9="Yes",'Annual Values'!F26,NA())</x:f>
        <x:v>74078.52799999999</x:v>
      </x:c>
      <x:c r="F26" s="67" t="e">
        <x:f>IF('Dashboard'!$C$10="Yes",'Annual Values'!G26,NA())</x:f>
        <x:v>#N/A</x:v>
      </x:c>
      <x:c r="G26" s="67" t="e">
        <x:f>IF('Dashboard'!$C$11="Yes",'Annual Values'!H26,NA())</x:f>
        <x:v>#N/A</x:v>
      </x:c>
      <x:c r="H26" s="67" t="e">
        <x:f>IF('Dashboard'!$C$12="Yes",'Annual Values'!I26,NA())</x:f>
        <x:v>#N/A</x:v>
      </x:c>
      <x:c r="I26" s="67" t="e">
        <x:f>IF('Dashboard'!$C$13="Yes",'Annual Values'!J26,NA())</x:f>
        <x:v>#N/A</x:v>
      </x:c>
      <x:c r="J26" s="67" t="e">
        <x:f>IF('Dashboard'!$C$14="Yes",'Annual Values'!K26,NA())</x:f>
        <x:v>#N/A</x:v>
      </x:c>
      <x:c r="K26" s="67" t="e">
        <x:f>IF('Dashboard'!$C$15="Yes",'Annual Values'!L26,NA())</x:f>
        <x:v>#N/A</x:v>
      </x:c>
      <x:c r="L26" s="67" t="e">
        <x:f>IF('Dashboard'!$C$16="Yes",'Annual Values'!M26,NA())</x:f>
        <x:v>#N/A</x:v>
      </x:c>
      <x:c r="M26" s="67" t="n">
        <x:f>IF('Dashboard'!$C$17="Yes",'Annual Values'!N26,NA())</x:f>
        <x:v>107250.86153846154</x:v>
      </x:c>
      <x:c r="N26" s="67" t="e">
        <x:f>IF('Dashboard'!$C$18="Yes",'Annual Values'!O26,NA())</x:f>
        <x:v>#N/A</x:v>
      </x:c>
      <x:c r="O26" s="67" t="e">
        <x:f>IF('Dashboard'!$C$19="Yes",'Annual Values'!P26,NA())</x:f>
        <x:v>#N/A</x:v>
      </x:c>
      <x:c r="P26" s="67" t="e">
        <x:f>IF('Dashboard'!$C$20="Yes",'Annual Values'!Q26,NA())</x:f>
        <x:v>#N/A</x:v>
      </x:c>
      <x:c r="Q26" s="67" t="e">
        <x:f>IF('Dashboard'!$C$21="Yes",'Annual Values'!R26,NA())</x:f>
        <x:v>#N/A</x:v>
      </x:c>
    </x:row>
    <x:row r="27">
      <x:c r="A27" s="45" t="n">
        <x:f>'Annual Values'!A27</x:f>
        <x:v>2022</x:v>
      </x:c>
      <x:c r="B27" s="67" t="e">
        <x:f>IF('Dashboard'!$C$6="Yes",'Annual Values'!C27,NA())</x:f>
        <x:v>#N/A</x:v>
      </x:c>
      <x:c r="C27" s="67" t="e">
        <x:f>IF('Dashboard'!$C$7="Yes",'Annual Values'!D27,NA())</x:f>
        <x:v>#N/A</x:v>
      </x:c>
      <x:c r="D27" s="67" t="e">
        <x:f>IF('Dashboard'!$C$8="Yes",'Annual Values'!E27,NA())</x:f>
        <x:v>#N/A</x:v>
      </x:c>
      <x:c r="E27" s="67" t="n">
        <x:f>IF('Dashboard'!$C$9="Yes",'Annual Values'!F27,NA())</x:f>
        <x:v>75871.02799999999</x:v>
      </x:c>
      <x:c r="F27" s="67" t="e">
        <x:f>IF('Dashboard'!$C$10="Yes",'Annual Values'!G27,NA())</x:f>
        <x:v>#N/A</x:v>
      </x:c>
      <x:c r="G27" s="67" t="e">
        <x:f>IF('Dashboard'!$C$11="Yes",'Annual Values'!H27,NA())</x:f>
        <x:v>#N/A</x:v>
      </x:c>
      <x:c r="H27" s="67" t="e">
        <x:f>IF('Dashboard'!$C$12="Yes",'Annual Values'!I27,NA())</x:f>
        <x:v>#N/A</x:v>
      </x:c>
      <x:c r="I27" s="67" t="e">
        <x:f>IF('Dashboard'!$C$13="Yes",'Annual Values'!J27,NA())</x:f>
        <x:v>#N/A</x:v>
      </x:c>
      <x:c r="J27" s="67" t="e">
        <x:f>IF('Dashboard'!$C$14="Yes",'Annual Values'!K27,NA())</x:f>
        <x:v>#N/A</x:v>
      </x:c>
      <x:c r="K27" s="67" t="e">
        <x:f>IF('Dashboard'!$C$15="Yes",'Annual Values'!L27,NA())</x:f>
        <x:v>#N/A</x:v>
      </x:c>
      <x:c r="L27" s="67" t="e">
        <x:f>IF('Dashboard'!$C$16="Yes",'Annual Values'!M27,NA())</x:f>
        <x:v>#N/A</x:v>
      </x:c>
      <x:c r="M27" s="67" t="n">
        <x:f>IF('Dashboard'!$C$17="Yes",'Annual Values'!N27,NA())</x:f>
        <x:v>111174.27692307693</x:v>
      </x:c>
      <x:c r="N27" s="67" t="e">
        <x:f>IF('Dashboard'!$C$18="Yes",'Annual Values'!O27,NA())</x:f>
        <x:v>#N/A</x:v>
      </x:c>
      <x:c r="O27" s="67" t="e">
        <x:f>IF('Dashboard'!$C$19="Yes",'Annual Values'!P27,NA())</x:f>
        <x:v>#N/A</x:v>
      </x:c>
      <x:c r="P27" s="67" t="e">
        <x:f>IF('Dashboard'!$C$20="Yes",'Annual Values'!Q27,NA())</x:f>
        <x:v>#N/A</x:v>
      </x:c>
      <x:c r="Q27" s="67" t="e">
        <x:f>IF('Dashboard'!$C$21="Yes",'Annual Values'!R27,NA())</x:f>
        <x:v>#N/A</x:v>
      </x:c>
    </x:row>
    <x:row r="28">
      <x:c r="A28" s="45" t="n">
        <x:f>'Annual Values'!A28</x:f>
        <x:v>2023</x:v>
      </x:c>
      <x:c r="B28" s="67" t="e">
        <x:f>IF('Dashboard'!$C$6="Yes",'Annual Values'!C28,NA())</x:f>
        <x:v>#N/A</x:v>
      </x:c>
      <x:c r="C28" s="67" t="e">
        <x:f>IF('Dashboard'!$C$7="Yes",'Annual Values'!D28,NA())</x:f>
        <x:v>#N/A</x:v>
      </x:c>
      <x:c r="D28" s="67" t="e">
        <x:f>IF('Dashboard'!$C$8="Yes",'Annual Values'!E28,NA())</x:f>
        <x:v>#N/A</x:v>
      </x:c>
      <x:c r="E28" s="67" t="n">
        <x:f>IF('Dashboard'!$C$9="Yes",'Annual Values'!F28,NA())</x:f>
        <x:v>79185.48</x:v>
      </x:c>
      <x:c r="F28" s="67" t="e">
        <x:f>IF('Dashboard'!$C$10="Yes",'Annual Values'!G28,NA())</x:f>
        <x:v>#N/A</x:v>
      </x:c>
      <x:c r="G28" s="67" t="e">
        <x:f>IF('Dashboard'!$C$11="Yes",'Annual Values'!H28,NA())</x:f>
        <x:v>#N/A</x:v>
      </x:c>
      <x:c r="H28" s="67" t="e">
        <x:f>IF('Dashboard'!$C$12="Yes",'Annual Values'!I28,NA())</x:f>
        <x:v>#N/A</x:v>
      </x:c>
      <x:c r="I28" s="67" t="e">
        <x:f>IF('Dashboard'!$C$13="Yes",'Annual Values'!J28,NA())</x:f>
        <x:v>#N/A</x:v>
      </x:c>
      <x:c r="J28" s="67" t="e">
        <x:f>IF('Dashboard'!$C$14="Yes",'Annual Values'!K28,NA())</x:f>
        <x:v>#N/A</x:v>
      </x:c>
      <x:c r="K28" s="67" t="e">
        <x:f>IF('Dashboard'!$C$15="Yes",'Annual Values'!L28,NA())</x:f>
        <x:v>#N/A</x:v>
      </x:c>
      <x:c r="L28" s="67" t="e">
        <x:f>IF('Dashboard'!$C$16="Yes",'Annual Values'!M28,NA())</x:f>
        <x:v>#N/A</x:v>
      </x:c>
      <x:c r="M28" s="67" t="n">
        <x:f>IF('Dashboard'!$C$17="Yes",'Annual Values'!N28,NA())</x:f>
        <x:v>118512.52307692308</x:v>
      </x:c>
      <x:c r="N28" s="67" t="e">
        <x:f>IF('Dashboard'!$C$18="Yes",'Annual Values'!O28,NA())</x:f>
        <x:v>#N/A</x:v>
      </x:c>
      <x:c r="O28" s="67" t="e">
        <x:f>IF('Dashboard'!$C$19="Yes",'Annual Values'!P28,NA())</x:f>
        <x:v>#N/A</x:v>
      </x:c>
      <x:c r="P28" s="67" t="e">
        <x:f>IF('Dashboard'!$C$20="Yes",'Annual Values'!Q28,NA())</x:f>
        <x:v>#N/A</x:v>
      </x:c>
      <x:c r="Q28" s="67" t="e">
        <x:f>IF('Dashboard'!$C$21="Yes",'Annual Values'!R28,NA())</x:f>
        <x:v>#N/A</x:v>
      </x:c>
    </x:row>
    <x:row r="29">
      <x:c r="A29" s="45" t="n">
        <x:f>'Annual Values'!A29</x:f>
        <x:v>2024</x:v>
      </x:c>
      <x:c r="B29" s="67" t="e">
        <x:f>IF('Dashboard'!$C$6="Yes",'Annual Values'!C29,NA())</x:f>
        <x:v>#N/A</x:v>
      </x:c>
      <x:c r="C29" s="67" t="e">
        <x:f>IF('Dashboard'!$C$7="Yes",'Annual Values'!D29,NA())</x:f>
        <x:v>#N/A</x:v>
      </x:c>
      <x:c r="D29" s="67" t="e">
        <x:f>IF('Dashboard'!$C$8="Yes",'Annual Values'!E29,NA())</x:f>
        <x:v>#N/A</x:v>
      </x:c>
      <x:c r="E29" s="67" t="n">
        <x:f>IF('Dashboard'!$C$9="Yes",'Annual Values'!F29,NA())</x:f>
        <x:v>83135.67199999999</x:v>
      </x:c>
      <x:c r="F29" s="67" t="e">
        <x:f>IF('Dashboard'!$C$10="Yes",'Annual Values'!G29,NA())</x:f>
        <x:v>#N/A</x:v>
      </x:c>
      <x:c r="G29" s="67" t="e">
        <x:f>IF('Dashboard'!$C$11="Yes",'Annual Values'!H29,NA())</x:f>
        <x:v>#N/A</x:v>
      </x:c>
      <x:c r="H29" s="67" t="e">
        <x:f>IF('Dashboard'!$C$12="Yes",'Annual Values'!I29,NA())</x:f>
        <x:v>#N/A</x:v>
      </x:c>
      <x:c r="I29" s="67" t="e">
        <x:f>IF('Dashboard'!$C$13="Yes",'Annual Values'!J29,NA())</x:f>
        <x:v>#N/A</x:v>
      </x:c>
      <x:c r="J29" s="67" t="e">
        <x:f>IF('Dashboard'!$C$14="Yes",'Annual Values'!K29,NA())</x:f>
        <x:v>#N/A</x:v>
      </x:c>
      <x:c r="K29" s="67" t="e">
        <x:f>IF('Dashboard'!$C$15="Yes",'Annual Values'!L29,NA())</x:f>
        <x:v>#N/A</x:v>
      </x:c>
      <x:c r="L29" s="67" t="e">
        <x:f>IF('Dashboard'!$C$16="Yes",'Annual Values'!M29,NA())</x:f>
        <x:v>#N/A</x:v>
      </x:c>
      <x:c r="M29" s="67" t="n">
        <x:f>IF('Dashboard'!$C$17="Yes",'Annual Values'!N29,NA())</x:f>
        <x:v>125224.06153846154</x:v>
      </x:c>
      <x:c r="N29" s="67" t="e">
        <x:f>IF('Dashboard'!$C$18="Yes",'Annual Values'!O29,NA())</x:f>
        <x:v>#N/A</x:v>
      </x:c>
      <x:c r="O29" s="67" t="e">
        <x:f>IF('Dashboard'!$C$19="Yes",'Annual Values'!P29,NA())</x:f>
        <x:v>#N/A</x:v>
      </x:c>
      <x:c r="P29" s="67" t="e">
        <x:f>IF('Dashboard'!$C$20="Yes",'Annual Values'!Q29,NA())</x:f>
        <x:v>#N/A</x:v>
      </x:c>
      <x:c r="Q29" s="67" t="e">
        <x:f>IF('Dashboard'!$C$21="Yes",'Annual Values'!R29,NA())</x:f>
        <x:v>#N/A</x:v>
      </x:c>
    </x:row>
    <x:row r="30">
      <x:c r="A30" s="45" t="n">
        <x:f>'Annual Values'!A30</x:f>
        <x:v>2025</x:v>
      </x:c>
      <x:c r="B30" s="67" t="e">
        <x:f>IF('Dashboard'!$C$6="Yes",'Annual Values'!C30,NA())</x:f>
        <x:v>#N/A</x:v>
      </x:c>
      <x:c r="C30" s="67" t="e">
        <x:f>IF('Dashboard'!$C$7="Yes",'Annual Values'!D30,NA())</x:f>
        <x:v>#N/A</x:v>
      </x:c>
      <x:c r="D30" s="67" t="e">
        <x:f>IF('Dashboard'!$C$8="Yes",'Annual Values'!E30,NA())</x:f>
        <x:v>#N/A</x:v>
      </x:c>
      <x:c r="E30" s="67" t="n">
        <x:f>IF('Dashboard'!$C$9="Yes",'Annual Values'!F30,NA())</x:f>
        <x:v>84721.67599999999</x:v>
      </x:c>
      <x:c r="F30" s="67" t="e">
        <x:f>IF('Dashboard'!$C$10="Yes",'Annual Values'!G30,NA())</x:f>
        <x:v>#N/A</x:v>
      </x:c>
      <x:c r="G30" s="67" t="e">
        <x:f>IF('Dashboard'!$C$11="Yes",'Annual Values'!H30,NA())</x:f>
        <x:v>#N/A</x:v>
      </x:c>
      <x:c r="H30" s="67" t="e">
        <x:f>IF('Dashboard'!$C$12="Yes",'Annual Values'!I30,NA())</x:f>
        <x:v>#N/A</x:v>
      </x:c>
      <x:c r="I30" s="67" t="e">
        <x:f>IF('Dashboard'!$C$13="Yes",'Annual Values'!J30,NA())</x:f>
        <x:v>#N/A</x:v>
      </x:c>
      <x:c r="J30" s="67" t="e">
        <x:f>IF('Dashboard'!$C$14="Yes",'Annual Values'!K30,NA())</x:f>
        <x:v>#N/A</x:v>
      </x:c>
      <x:c r="K30" s="67" t="e">
        <x:f>IF('Dashboard'!$C$15="Yes",'Annual Values'!L30,NA())</x:f>
        <x:v>#N/A</x:v>
      </x:c>
      <x:c r="L30" s="67" t="e">
        <x:f>IF('Dashboard'!$C$16="Yes",'Annual Values'!M30,NA())</x:f>
        <x:v>#N/A</x:v>
      </x:c>
      <x:c r="M30" s="67" t="n">
        <x:f>IF('Dashboard'!$C$17="Yes",'Annual Values'!N30,NA())</x:f>
        <x:v>130380.67692307693</x:v>
      </x:c>
      <x:c r="N30" s="67" t="e">
        <x:f>IF('Dashboard'!$C$18="Yes",'Annual Values'!O30,NA())</x:f>
        <x:v>#N/A</x:v>
      </x:c>
      <x:c r="O30" s="67" t="e">
        <x:f>IF('Dashboard'!$C$19="Yes",'Annual Values'!P30,NA())</x:f>
        <x:v>#N/A</x:v>
      </x:c>
      <x:c r="P30" s="67" t="e">
        <x:f>IF('Dashboard'!$C$20="Yes",'Annual Values'!Q30,NA())</x:f>
        <x:v>#N/A</x:v>
      </x:c>
      <x:c r="Q30" s="67" t="e">
        <x:f>IF('Dashboard'!$C$21="Yes",'Annual Values'!R30,NA())</x:f>
        <x:v>#N/A</x:v>
      </x:c>
    </x:row>
    <x:row r="31">
      <x:c r="A31" s="45" t="n">
        <x:f>'Annual Values'!A31</x:f>
        <x:v>2026</x:v>
      </x:c>
      <x:c r="B31" s="67" t="e">
        <x:f>IF('Dashboard'!$C$6="Yes",'Annual Values'!C31,NA())</x:f>
        <x:v>#N/A</x:v>
      </x:c>
      <x:c r="C31" s="67" t="e">
        <x:f>IF('Dashboard'!$C$7="Yes",'Annual Values'!D31,NA())</x:f>
        <x:v>#N/A</x:v>
      </x:c>
      <x:c r="D31" s="67" t="e">
        <x:f>IF('Dashboard'!$C$8="Yes",'Annual Values'!E31,NA())</x:f>
        <x:v>#N/A</x:v>
      </x:c>
      <x:c r="E31" s="67" t="n">
        <x:f>IF('Dashboard'!$C$9="Yes",'Annual Values'!F31,NA())</x:f>
        <x:v>85569.648</x:v>
      </x:c>
      <x:c r="F31" s="67" t="e">
        <x:f>IF('Dashboard'!$C$10="Yes",'Annual Values'!G31,NA())</x:f>
        <x:v>#N/A</x:v>
      </x:c>
      <x:c r="G31" s="67" t="e">
        <x:f>IF('Dashboard'!$C$11="Yes",'Annual Values'!H31,NA())</x:f>
        <x:v>#N/A</x:v>
      </x:c>
      <x:c r="H31" s="67" t="e">
        <x:f>IF('Dashboard'!$C$12="Yes",'Annual Values'!I31,NA())</x:f>
        <x:v>#N/A</x:v>
      </x:c>
      <x:c r="I31" s="67" t="e">
        <x:f>IF('Dashboard'!$C$13="Yes",'Annual Values'!J31,NA())</x:f>
        <x:v>#N/A</x:v>
      </x:c>
      <x:c r="J31" s="67" t="e">
        <x:f>IF('Dashboard'!$C$14="Yes",'Annual Values'!K31,NA())</x:f>
        <x:v>#N/A</x:v>
      </x:c>
      <x:c r="K31" s="67" t="e">
        <x:f>IF('Dashboard'!$C$15="Yes",'Annual Values'!L31,NA())</x:f>
        <x:v>#N/A</x:v>
      </x:c>
      <x:c r="L31" s="67" t="e">
        <x:f>IF('Dashboard'!$C$16="Yes",'Annual Values'!M31,NA())</x:f>
        <x:v>#N/A</x:v>
      </x:c>
      <x:c r="M31" s="67" t="n">
        <x:f>IF('Dashboard'!$C$17="Yes",'Annual Values'!N31,NA())</x:f>
        <x:v>134220.61538461538</x:v>
      </x:c>
      <x:c r="N31" s="67" t="e">
        <x:f>IF('Dashboard'!$C$18="Yes",'Annual Values'!O31,NA())</x:f>
        <x:v>#N/A</x:v>
      </x:c>
      <x:c r="O31" s="67" t="e">
        <x:f>IF('Dashboard'!$C$19="Yes",'Annual Values'!P31,NA())</x:f>
        <x:v>#N/A</x:v>
      </x:c>
      <x:c r="P31" s="67" t="e">
        <x:f>IF('Dashboard'!$C$20="Yes",'Annual Values'!Q31,NA())</x:f>
        <x:v>#N/A</x:v>
      </x:c>
      <x:c r="Q31" s="67" t="e">
        <x:f>IF('Dashboard'!$C$21="Yes",'Annual Values'!R31,NA())</x:f>
        <x:v>#N/A</x:v>
      </x:c>
    </x:row>
    <x:row r="32">
      <x:c r="A32" s="45" t="str">
        <x:f>'Annual Values'!A32</x:f>
        <x:v>2027F</x:v>
      </x:c>
      <x:c r="B32" s="67" t="e">
        <x:f>IF('Dashboard'!$C$6="Yes",'Annual Values'!C32,NA())</x:f>
        <x:v>#N/A</x:v>
      </x:c>
      <x:c r="C32" s="67" t="e">
        <x:f>IF('Dashboard'!$C$7="Yes",'Annual Values'!D32,NA())</x:f>
        <x:v>#N/A</x:v>
      </x:c>
      <x:c r="D32" s="67" t="e">
        <x:f>IF('Dashboard'!$C$8="Yes",'Annual Values'!E32,NA())</x:f>
        <x:v>#N/A</x:v>
      </x:c>
      <x:c r="E32" s="67" t="n">
        <x:f>IF('Dashboard'!$C$9="Yes",'Annual Values'!F32,NA())</x:f>
        <x:v>85569.648</x:v>
      </x:c>
      <x:c r="F32" s="67" t="e">
        <x:f>IF('Dashboard'!$C$10="Yes",'Annual Values'!G32,NA())</x:f>
        <x:v>#N/A</x:v>
      </x:c>
      <x:c r="G32" s="67" t="e">
        <x:f>IF('Dashboard'!$C$11="Yes",'Annual Values'!H32,NA())</x:f>
        <x:v>#N/A</x:v>
      </x:c>
      <x:c r="H32" s="67" t="e">
        <x:f>IF('Dashboard'!$C$12="Yes",'Annual Values'!I32,NA())</x:f>
        <x:v>#N/A</x:v>
      </x:c>
      <x:c r="I32" s="67" t="e">
        <x:f>IF('Dashboard'!$C$13="Yes",'Annual Values'!J32,NA())</x:f>
        <x:v>#N/A</x:v>
      </x:c>
      <x:c r="J32" s="67" t="e">
        <x:f>IF('Dashboard'!$C$14="Yes",'Annual Values'!K32,NA())</x:f>
        <x:v>#N/A</x:v>
      </x:c>
      <x:c r="K32" s="67" t="e">
        <x:f>IF('Dashboard'!$C$15="Yes",'Annual Values'!L32,NA())</x:f>
        <x:v>#N/A</x:v>
      </x:c>
      <x:c r="L32" s="67" t="e">
        <x:f>IF('Dashboard'!$C$16="Yes",'Annual Values'!M32,NA())</x:f>
        <x:v>#N/A</x:v>
      </x:c>
      <x:c r="M32" s="67" t="n">
        <x:f>IF('Dashboard'!$C$17="Yes",'Annual Values'!N32,NA())</x:f>
        <x:v>139791.2553846154</x:v>
      </x:c>
      <x:c r="N32" s="67" t="e">
        <x:f>IF('Dashboard'!$C$18="Yes",'Annual Values'!O32,NA())</x:f>
        <x:v>#N/A</x:v>
      </x:c>
      <x:c r="O32" s="67" t="e">
        <x:f>IF('Dashboard'!$C$19="Yes",'Annual Values'!P32,NA())</x:f>
        <x:v>#N/A</x:v>
      </x:c>
      <x:c r="P32" s="67" t="e">
        <x:f>IF('Dashboard'!$C$20="Yes",'Annual Values'!Q32,NA())</x:f>
        <x:v>#N/A</x:v>
      </x:c>
      <x:c r="Q32" s="67" t="e">
        <x:f>IF('Dashboard'!$C$21="Yes",'Annual Values'!R32,NA())</x:f>
        <x:v>#N/A</x:v>
      </x:c>
    </x:row>
    <x:row r="36" ht="32" customHeight="1">
      <x:c r="A36" s="37" t="str">
        <x:v>Year</x:v>
      </x:c>
      <x:c r="B36" s="37" t="str">
        <x:v>GS-7 step 1</x:v>
      </x:c>
      <x:c r="C36" s="37" t="str">
        <x:v>GS-9 step 1</x:v>
      </x:c>
      <x:c r="D36" s="37" t="str">
        <x:v>GS-11 step 1</x:v>
      </x:c>
      <x:c r="E36" s="37" t="str">
        <x:v>GS-12 step 1</x:v>
      </x:c>
      <x:c r="F36" s="37" t="str">
        <x:v>GS-13 step 1</x:v>
      </x:c>
      <x:c r="G36" s="37" t="str">
        <x:v>GS-13 step 10</x:v>
      </x:c>
      <x:c r="H36" s="37" t="str">
        <x:v>GS-14 step 1</x:v>
      </x:c>
      <x:c r="I36" s="37" t="str">
        <x:v>GS-15 step 1</x:v>
      </x:c>
      <x:c r="J36" s="37" t="str">
        <x:v>GS-15 step 10</x:v>
      </x:c>
      <x:c r="K36" s="37" t="str">
        <x:v>O-1</x:v>
      </x:c>
      <x:c r="L36" s="37" t="str">
        <x:v>O-2</x:v>
      </x:c>
      <x:c r="M36" s="37" t="str">
        <x:v>O-3</x:v>
      </x:c>
      <x:c r="N36" s="37" t="str">
        <x:v>O-4</x:v>
      </x:c>
      <x:c r="O36" s="37" t="str">
        <x:v>O-5</x:v>
      </x:c>
      <x:c r="P36" s="37" t="str">
        <x:v>O-6</x:v>
      </x:c>
      <x:c r="Q36" s="37" t="str">
        <x:v>Average private wage</x:v>
      </x:c>
    </x:row>
    <x:row r="37">
      <x:c r="A37" s="44" t="n">
        <x:f>'Indexed Growth'!A6</x:f>
        <x:v>2001</x:v>
      </x:c>
      <x:c r="B37" s="90" t="e">
        <x:f>IF('Dashboard'!$C$6="Yes",'Indexed Growth'!C6,NA())</x:f>
        <x:v>#N/A</x:v>
      </x:c>
      <x:c r="C37" s="90" t="e">
        <x:f>IF('Dashboard'!$C$7="Yes",'Indexed Growth'!D6,NA())</x:f>
        <x:v>#N/A</x:v>
      </x:c>
      <x:c r="D37" s="90" t="e">
        <x:f>IF('Dashboard'!$C$8="Yes",'Indexed Growth'!E6,NA())</x:f>
        <x:v>#N/A</x:v>
      </x:c>
      <x:c r="E37" s="90" t="n">
        <x:f>IF('Dashboard'!$C$9="Yes",'Indexed Growth'!F6,NA())</x:f>
        <x:v>100</x:v>
      </x:c>
      <x:c r="F37" s="90" t="e">
        <x:f>IF('Dashboard'!$C$10="Yes",'Indexed Growth'!G6,NA())</x:f>
        <x:v>#N/A</x:v>
      </x:c>
      <x:c r="G37" s="90" t="e">
        <x:f>IF('Dashboard'!$C$11="Yes",'Indexed Growth'!H6,NA())</x:f>
        <x:v>#N/A</x:v>
      </x:c>
      <x:c r="H37" s="90" t="e">
        <x:f>IF('Dashboard'!$C$12="Yes",'Indexed Growth'!I6,NA())</x:f>
        <x:v>#N/A</x:v>
      </x:c>
      <x:c r="I37" s="90" t="e">
        <x:f>IF('Dashboard'!$C$13="Yes",'Indexed Growth'!J6,NA())</x:f>
        <x:v>#N/A</x:v>
      </x:c>
      <x:c r="J37" s="90" t="e">
        <x:f>IF('Dashboard'!$C$14="Yes",'Indexed Growth'!K6,NA())</x:f>
        <x:v>#N/A</x:v>
      </x:c>
      <x:c r="K37" s="90" t="e">
        <x:f>IF('Dashboard'!$C$15="Yes",'Indexed Growth'!L6,NA())</x:f>
        <x:v>#N/A</x:v>
      </x:c>
      <x:c r="L37" s="90" t="e">
        <x:f>IF('Dashboard'!$C$16="Yes",'Indexed Growth'!M6,NA())</x:f>
        <x:v>#N/A</x:v>
      </x:c>
      <x:c r="M37" s="90" t="n">
        <x:f>IF('Dashboard'!$C$17="Yes",'Indexed Growth'!N6,NA())</x:f>
        <x:v>100</x:v>
      </x:c>
      <x:c r="N37" s="90" t="e">
        <x:f>IF('Dashboard'!$C$18="Yes",'Indexed Growth'!O6,NA())</x:f>
        <x:v>#N/A</x:v>
      </x:c>
      <x:c r="O37" s="90" t="e">
        <x:f>IF('Dashboard'!$C$19="Yes",'Indexed Growth'!P6,NA())</x:f>
        <x:v>#N/A</x:v>
      </x:c>
      <x:c r="P37" s="90" t="e">
        <x:f>IF('Dashboard'!$C$20="Yes",'Indexed Growth'!Q6,NA())</x:f>
        <x:v>#N/A</x:v>
      </x:c>
      <x:c r="Q37" s="90" t="e">
        <x:f>IF('Dashboard'!$C$21="Yes",'Indexed Growth'!R6,NA())</x:f>
        <x:v>#N/A</x:v>
      </x:c>
    </x:row>
    <x:row r="38">
      <x:c r="A38" s="45" t="n">
        <x:f>'Indexed Growth'!A7</x:f>
        <x:v>2002</x:v>
      </x:c>
      <x:c r="B38" s="91" t="e">
        <x:f>IF('Dashboard'!$C$6="Yes",'Indexed Growth'!C7,NA())</x:f>
        <x:v>#N/A</x:v>
      </x:c>
      <x:c r="C38" s="91" t="e">
        <x:f>IF('Dashboard'!$C$7="Yes",'Indexed Growth'!D7,NA())</x:f>
        <x:v>#N/A</x:v>
      </x:c>
      <x:c r="D38" s="91" t="e">
        <x:f>IF('Dashboard'!$C$8="Yes",'Indexed Growth'!E7,NA())</x:f>
        <x:v>#N/A</x:v>
      </x:c>
      <x:c r="E38" s="91" t="n">
        <x:f>IF('Dashboard'!$C$9="Yes",'Indexed Growth'!F7,NA())</x:f>
        <x:v>104.5217324320681</x:v>
      </x:c>
      <x:c r="F38" s="91" t="e">
        <x:f>IF('Dashboard'!$C$10="Yes",'Indexed Growth'!G7,NA())</x:f>
        <x:v>#N/A</x:v>
      </x:c>
      <x:c r="G38" s="91" t="e">
        <x:f>IF('Dashboard'!$C$11="Yes",'Indexed Growth'!H7,NA())</x:f>
        <x:v>#N/A</x:v>
      </x:c>
      <x:c r="H38" s="91" t="e">
        <x:f>IF('Dashboard'!$C$12="Yes",'Indexed Growth'!I7,NA())</x:f>
        <x:v>#N/A</x:v>
      </x:c>
      <x:c r="I38" s="91" t="e">
        <x:f>IF('Dashboard'!$C$13="Yes",'Indexed Growth'!J7,NA())</x:f>
        <x:v>#N/A</x:v>
      </x:c>
      <x:c r="J38" s="91" t="e">
        <x:f>IF('Dashboard'!$C$14="Yes",'Indexed Growth'!K7,NA())</x:f>
        <x:v>#N/A</x:v>
      </x:c>
      <x:c r="K38" s="91" t="e">
        <x:f>IF('Dashboard'!$C$15="Yes",'Indexed Growth'!L7,NA())</x:f>
        <x:v>#N/A</x:v>
      </x:c>
      <x:c r="L38" s="91" t="e">
        <x:f>IF('Dashboard'!$C$16="Yes",'Indexed Growth'!M7,NA())</x:f>
        <x:v>#N/A</x:v>
      </x:c>
      <x:c r="M38" s="91" t="n">
        <x:f>IF('Dashboard'!$C$17="Yes",'Indexed Growth'!N7,NA())</x:f>
        <x:v>104.86500921744366</x:v>
      </x:c>
      <x:c r="N38" s="91" t="e">
        <x:f>IF('Dashboard'!$C$18="Yes",'Indexed Growth'!O7,NA())</x:f>
        <x:v>#N/A</x:v>
      </x:c>
      <x:c r="O38" s="91" t="e">
        <x:f>IF('Dashboard'!$C$19="Yes",'Indexed Growth'!P7,NA())</x:f>
        <x:v>#N/A</x:v>
      </x:c>
      <x:c r="P38" s="91" t="e">
        <x:f>IF('Dashboard'!$C$20="Yes",'Indexed Growth'!Q7,NA())</x:f>
        <x:v>#N/A</x:v>
      </x:c>
      <x:c r="Q38" s="91" t="e">
        <x:f>IF('Dashboard'!$C$21="Yes",'Indexed Growth'!R7,NA())</x:f>
        <x:v>#N/A</x:v>
      </x:c>
    </x:row>
    <x:row r="39">
      <x:c r="A39" s="45" t="n">
        <x:f>'Indexed Growth'!A8</x:f>
        <x:v>2003</x:v>
      </x:c>
      <x:c r="B39" s="91" t="e">
        <x:f>IF('Dashboard'!$C$6="Yes",'Indexed Growth'!C8,NA())</x:f>
        <x:v>#N/A</x:v>
      </x:c>
      <x:c r="C39" s="91" t="e">
        <x:f>IF('Dashboard'!$C$7="Yes",'Indexed Growth'!D8,NA())</x:f>
        <x:v>#N/A</x:v>
      </x:c>
      <x:c r="D39" s="91" t="e">
        <x:f>IF('Dashboard'!$C$8="Yes",'Indexed Growth'!E8,NA())</x:f>
        <x:v>#N/A</x:v>
      </x:c>
      <x:c r="E39" s="91" t="n">
        <x:f>IF('Dashboard'!$C$9="Yes",'Indexed Growth'!F8,NA())</x:f>
        <x:v>108.7353399965336</x:v>
      </x:c>
      <x:c r="F39" s="91" t="e">
        <x:f>IF('Dashboard'!$C$10="Yes",'Indexed Growth'!G8,NA())</x:f>
        <x:v>#N/A</x:v>
      </x:c>
      <x:c r="G39" s="91" t="e">
        <x:f>IF('Dashboard'!$C$11="Yes",'Indexed Growth'!H8,NA())</x:f>
        <x:v>#N/A</x:v>
      </x:c>
      <x:c r="H39" s="91" t="e">
        <x:f>IF('Dashboard'!$C$12="Yes",'Indexed Growth'!I8,NA())</x:f>
        <x:v>#N/A</x:v>
      </x:c>
      <x:c r="I39" s="91" t="e">
        <x:f>IF('Dashboard'!$C$13="Yes",'Indexed Growth'!J8,NA())</x:f>
        <x:v>#N/A</x:v>
      </x:c>
      <x:c r="J39" s="91" t="e">
        <x:f>IF('Dashboard'!$C$14="Yes",'Indexed Growth'!K8,NA())</x:f>
        <x:v>#N/A</x:v>
      </x:c>
      <x:c r="K39" s="91" t="e">
        <x:f>IF('Dashboard'!$C$15="Yes",'Indexed Growth'!L8,NA())</x:f>
        <x:v>#N/A</x:v>
      </x:c>
      <x:c r="L39" s="91" t="e">
        <x:f>IF('Dashboard'!$C$16="Yes",'Indexed Growth'!M8,NA())</x:f>
        <x:v>#N/A</x:v>
      </x:c>
      <x:c r="M39" s="91" t="n">
        <x:f>IF('Dashboard'!$C$17="Yes",'Indexed Growth'!N8,NA())</x:f>
        <x:v>109.03107639661609</x:v>
      </x:c>
      <x:c r="N39" s="91" t="e">
        <x:f>IF('Dashboard'!$C$18="Yes",'Indexed Growth'!O8,NA())</x:f>
        <x:v>#N/A</x:v>
      </x:c>
      <x:c r="O39" s="91" t="e">
        <x:f>IF('Dashboard'!$C$19="Yes",'Indexed Growth'!P8,NA())</x:f>
        <x:v>#N/A</x:v>
      </x:c>
      <x:c r="P39" s="91" t="e">
        <x:f>IF('Dashboard'!$C$20="Yes",'Indexed Growth'!Q8,NA())</x:f>
        <x:v>#N/A</x:v>
      </x:c>
      <x:c r="Q39" s="91" t="e">
        <x:f>IF('Dashboard'!$C$21="Yes",'Indexed Growth'!R8,NA())</x:f>
        <x:v>#N/A</x:v>
      </x:c>
    </x:row>
    <x:row r="40">
      <x:c r="A40" s="45" t="n">
        <x:f>'Indexed Growth'!A9</x:f>
        <x:v>2004</x:v>
      </x:c>
      <x:c r="B40" s="91" t="e">
        <x:f>IF('Dashboard'!$C$6="Yes",'Indexed Growth'!C9,NA())</x:f>
        <x:v>#N/A</x:v>
      </x:c>
      <x:c r="C40" s="91" t="e">
        <x:f>IF('Dashboard'!$C$7="Yes",'Indexed Growth'!D9,NA())</x:f>
        <x:v>#N/A</x:v>
      </x:c>
      <x:c r="D40" s="91" t="e">
        <x:f>IF('Dashboard'!$C$8="Yes",'Indexed Growth'!E9,NA())</x:f>
        <x:v>#N/A</x:v>
      </x:c>
      <x:c r="E40" s="91" t="n">
        <x:f>IF('Dashboard'!$C$9="Yes",'Indexed Growth'!F9,NA())</x:f>
        <x:v>112.97590848691432</x:v>
      </x:c>
      <x:c r="F40" s="91" t="e">
        <x:f>IF('Dashboard'!$C$10="Yes",'Indexed Growth'!G9,NA())</x:f>
        <x:v>#N/A</x:v>
      </x:c>
      <x:c r="G40" s="91" t="e">
        <x:f>IF('Dashboard'!$C$11="Yes",'Indexed Growth'!H9,NA())</x:f>
        <x:v>#N/A</x:v>
      </x:c>
      <x:c r="H40" s="91" t="e">
        <x:f>IF('Dashboard'!$C$12="Yes",'Indexed Growth'!I9,NA())</x:f>
        <x:v>#N/A</x:v>
      </x:c>
      <x:c r="I40" s="91" t="e">
        <x:f>IF('Dashboard'!$C$13="Yes",'Indexed Growth'!J9,NA())</x:f>
        <x:v>#N/A</x:v>
      </x:c>
      <x:c r="J40" s="91" t="e">
        <x:f>IF('Dashboard'!$C$14="Yes",'Indexed Growth'!K9,NA())</x:f>
        <x:v>#N/A</x:v>
      </x:c>
      <x:c r="K40" s="91" t="e">
        <x:f>IF('Dashboard'!$C$15="Yes",'Indexed Growth'!L9,NA())</x:f>
        <x:v>#N/A</x:v>
      </x:c>
      <x:c r="L40" s="91" t="e">
        <x:f>IF('Dashboard'!$C$16="Yes",'Indexed Growth'!M9,NA())</x:f>
        <x:v>#N/A</x:v>
      </x:c>
      <x:c r="M40" s="91" t="n">
        <x:f>IF('Dashboard'!$C$17="Yes",'Indexed Growth'!N9,NA())</x:f>
        <x:v>113.28781713751017</x:v>
      </x:c>
      <x:c r="N40" s="91" t="e">
        <x:f>IF('Dashboard'!$C$18="Yes",'Indexed Growth'!O9,NA())</x:f>
        <x:v>#N/A</x:v>
      </x:c>
      <x:c r="O40" s="91" t="e">
        <x:f>IF('Dashboard'!$C$19="Yes",'Indexed Growth'!P9,NA())</x:f>
        <x:v>#N/A</x:v>
      </x:c>
      <x:c r="P40" s="91" t="e">
        <x:f>IF('Dashboard'!$C$20="Yes",'Indexed Growth'!Q9,NA())</x:f>
        <x:v>#N/A</x:v>
      </x:c>
      <x:c r="Q40" s="91" t="e">
        <x:f>IF('Dashboard'!$C$21="Yes",'Indexed Growth'!R9,NA())</x:f>
        <x:v>#N/A</x:v>
      </x:c>
    </x:row>
    <x:row r="41">
      <x:c r="A41" s="45" t="n">
        <x:f>'Indexed Growth'!A10</x:f>
        <x:v>2005</x:v>
      </x:c>
      <x:c r="B41" s="91" t="e">
        <x:f>IF('Dashboard'!$C$6="Yes",'Indexed Growth'!C10,NA())</x:f>
        <x:v>#N/A</x:v>
      </x:c>
      <x:c r="C41" s="91" t="e">
        <x:f>IF('Dashboard'!$C$7="Yes",'Indexed Growth'!D10,NA())</x:f>
        <x:v>#N/A</x:v>
      </x:c>
      <x:c r="D41" s="91" t="e">
        <x:f>IF('Dashboard'!$C$8="Yes",'Indexed Growth'!E10,NA())</x:f>
        <x:v>#N/A</x:v>
      </x:c>
      <x:c r="E41" s="91" t="n">
        <x:f>IF('Dashboard'!$C$9="Yes",'Indexed Growth'!F10,NA())</x:f>
        <x:v>116.65607487434282</x:v>
      </x:c>
      <x:c r="F41" s="91" t="e">
        <x:f>IF('Dashboard'!$C$10="Yes",'Indexed Growth'!G10,NA())</x:f>
        <x:v>#N/A</x:v>
      </x:c>
      <x:c r="G41" s="91" t="e">
        <x:f>IF('Dashboard'!$C$11="Yes",'Indexed Growth'!H10,NA())</x:f>
        <x:v>#N/A</x:v>
      </x:c>
      <x:c r="H41" s="91" t="e">
        <x:f>IF('Dashboard'!$C$12="Yes",'Indexed Growth'!I10,NA())</x:f>
        <x:v>#N/A</x:v>
      </x:c>
      <x:c r="I41" s="91" t="e">
        <x:f>IF('Dashboard'!$C$13="Yes",'Indexed Growth'!J10,NA())</x:f>
        <x:v>#N/A</x:v>
      </x:c>
      <x:c r="J41" s="91" t="e">
        <x:f>IF('Dashboard'!$C$14="Yes",'Indexed Growth'!K10,NA())</x:f>
        <x:v>#N/A</x:v>
      </x:c>
      <x:c r="K41" s="91" t="e">
        <x:f>IF('Dashboard'!$C$15="Yes",'Indexed Growth'!L10,NA())</x:f>
        <x:v>#N/A</x:v>
      </x:c>
      <x:c r="L41" s="91" t="e">
        <x:f>IF('Dashboard'!$C$16="Yes",'Indexed Growth'!M10,NA())</x:f>
        <x:v>#N/A</x:v>
      </x:c>
      <x:c r="M41" s="91" t="n">
        <x:f>IF('Dashboard'!$C$17="Yes",'Indexed Growth'!N10,NA())</x:f>
        <x:v>119.54719113800493</x:v>
      </x:c>
      <x:c r="N41" s="91" t="e">
        <x:f>IF('Dashboard'!$C$18="Yes",'Indexed Growth'!O10,NA())</x:f>
        <x:v>#N/A</x:v>
      </x:c>
      <x:c r="O41" s="91" t="e">
        <x:f>IF('Dashboard'!$C$19="Yes",'Indexed Growth'!P10,NA())</x:f>
        <x:v>#N/A</x:v>
      </x:c>
      <x:c r="P41" s="91" t="e">
        <x:f>IF('Dashboard'!$C$20="Yes",'Indexed Growth'!Q10,NA())</x:f>
        <x:v>#N/A</x:v>
      </x:c>
      <x:c r="Q41" s="91" t="e">
        <x:f>IF('Dashboard'!$C$21="Yes",'Indexed Growth'!R10,NA())</x:f>
        <x:v>#N/A</x:v>
      </x:c>
    </x:row>
    <x:row r="42">
      <x:c r="A42" s="45" t="n">
        <x:f>'Indexed Growth'!A11</x:f>
        <x:v>2006</x:v>
      </x:c>
      <x:c r="B42" s="91" t="e">
        <x:f>IF('Dashboard'!$C$6="Yes",'Indexed Growth'!C11,NA())</x:f>
        <x:v>#N/A</x:v>
      </x:c>
      <x:c r="C42" s="91" t="e">
        <x:f>IF('Dashboard'!$C$7="Yes",'Indexed Growth'!D11,NA())</x:f>
        <x:v>#N/A</x:v>
      </x:c>
      <x:c r="D42" s="91" t="e">
        <x:f>IF('Dashboard'!$C$8="Yes",'Indexed Growth'!E11,NA())</x:f>
        <x:v>#N/A</x:v>
      </x:c>
      <x:c r="E42" s="91" t="n">
        <x:f>IF('Dashboard'!$C$9="Yes",'Indexed Growth'!F11,NA())</x:f>
        <x:v>119.95878829895814</x:v>
      </x:c>
      <x:c r="F42" s="91" t="e">
        <x:f>IF('Dashboard'!$C$10="Yes",'Indexed Growth'!G11,NA())</x:f>
        <x:v>#N/A</x:v>
      </x:c>
      <x:c r="G42" s="91" t="e">
        <x:f>IF('Dashboard'!$C$11="Yes",'Indexed Growth'!H11,NA())</x:f>
        <x:v>#N/A</x:v>
      </x:c>
      <x:c r="H42" s="91" t="e">
        <x:f>IF('Dashboard'!$C$12="Yes",'Indexed Growth'!I11,NA())</x:f>
        <x:v>#N/A</x:v>
      </x:c>
      <x:c r="I42" s="91" t="e">
        <x:f>IF('Dashboard'!$C$13="Yes",'Indexed Growth'!J11,NA())</x:f>
        <x:v>#N/A</x:v>
      </x:c>
      <x:c r="J42" s="91" t="e">
        <x:f>IF('Dashboard'!$C$14="Yes",'Indexed Growth'!K11,NA())</x:f>
        <x:v>#N/A</x:v>
      </x:c>
      <x:c r="K42" s="91" t="e">
        <x:f>IF('Dashboard'!$C$15="Yes",'Indexed Growth'!L11,NA())</x:f>
        <x:v>#N/A</x:v>
      </x:c>
      <x:c r="L42" s="91" t="e">
        <x:f>IF('Dashboard'!$C$16="Yes",'Indexed Growth'!M11,NA())</x:f>
        <x:v>#N/A</x:v>
      </x:c>
      <x:c r="M42" s="91" t="n">
        <x:f>IF('Dashboard'!$C$17="Yes",'Indexed Growth'!N11,NA())</x:f>
        <x:v>123.89543350967753</x:v>
      </x:c>
      <x:c r="N42" s="91" t="e">
        <x:f>IF('Dashboard'!$C$18="Yes",'Indexed Growth'!O11,NA())</x:f>
        <x:v>#N/A</x:v>
      </x:c>
      <x:c r="O42" s="91" t="e">
        <x:f>IF('Dashboard'!$C$19="Yes",'Indexed Growth'!P11,NA())</x:f>
        <x:v>#N/A</x:v>
      </x:c>
      <x:c r="P42" s="91" t="e">
        <x:f>IF('Dashboard'!$C$20="Yes",'Indexed Growth'!Q11,NA())</x:f>
        <x:v>#N/A</x:v>
      </x:c>
      <x:c r="Q42" s="91" t="e">
        <x:f>IF('Dashboard'!$C$21="Yes",'Indexed Growth'!R11,NA())</x:f>
        <x:v>#N/A</x:v>
      </x:c>
    </x:row>
    <x:row r="43">
      <x:c r="A43" s="45" t="n">
        <x:f>'Indexed Growth'!A12</x:f>
        <x:v>2007</x:v>
      </x:c>
      <x:c r="B43" s="91" t="e">
        <x:f>IF('Dashboard'!$C$6="Yes",'Indexed Growth'!C12,NA())</x:f>
        <x:v>#N/A</x:v>
      </x:c>
      <x:c r="C43" s="91" t="e">
        <x:f>IF('Dashboard'!$C$7="Yes",'Indexed Growth'!D12,NA())</x:f>
        <x:v>#N/A</x:v>
      </x:c>
      <x:c r="D43" s="91" t="e">
        <x:f>IF('Dashboard'!$C$8="Yes",'Indexed Growth'!E12,NA())</x:f>
        <x:v>#N/A</x:v>
      </x:c>
      <x:c r="E43" s="91" t="n">
        <x:f>IF('Dashboard'!$C$9="Yes",'Indexed Growth'!F12,NA())</x:f>
        <x:v>122.12721705471141</x:v>
      </x:c>
      <x:c r="F43" s="91" t="e">
        <x:f>IF('Dashboard'!$C$10="Yes",'Indexed Growth'!G12,NA())</x:f>
        <x:v>#N/A</x:v>
      </x:c>
      <x:c r="G43" s="91" t="e">
        <x:f>IF('Dashboard'!$C$11="Yes",'Indexed Growth'!H12,NA())</x:f>
        <x:v>#N/A</x:v>
      </x:c>
      <x:c r="H43" s="91" t="e">
        <x:f>IF('Dashboard'!$C$12="Yes",'Indexed Growth'!I12,NA())</x:f>
        <x:v>#N/A</x:v>
      </x:c>
      <x:c r="I43" s="91" t="e">
        <x:f>IF('Dashboard'!$C$13="Yes",'Indexed Growth'!J12,NA())</x:f>
        <x:v>#N/A</x:v>
      </x:c>
      <x:c r="J43" s="91" t="e">
        <x:f>IF('Dashboard'!$C$14="Yes",'Indexed Growth'!K12,NA())</x:f>
        <x:v>#N/A</x:v>
      </x:c>
      <x:c r="K43" s="91" t="e">
        <x:f>IF('Dashboard'!$C$15="Yes",'Indexed Growth'!L12,NA())</x:f>
        <x:v>#N/A</x:v>
      </x:c>
      <x:c r="L43" s="91" t="e">
        <x:f>IF('Dashboard'!$C$16="Yes",'Indexed Growth'!M12,NA())</x:f>
        <x:v>#N/A</x:v>
      </x:c>
      <x:c r="M43" s="91" t="n">
        <x:f>IF('Dashboard'!$C$17="Yes",'Indexed Growth'!N12,NA())</x:f>
        <x:v>125.408470939434</x:v>
      </x:c>
      <x:c r="N43" s="91" t="e">
        <x:f>IF('Dashboard'!$C$18="Yes",'Indexed Growth'!O12,NA())</x:f>
        <x:v>#N/A</x:v>
      </x:c>
      <x:c r="O43" s="91" t="e">
        <x:f>IF('Dashboard'!$C$19="Yes",'Indexed Growth'!P12,NA())</x:f>
        <x:v>#N/A</x:v>
      </x:c>
      <x:c r="P43" s="91" t="e">
        <x:f>IF('Dashboard'!$C$20="Yes",'Indexed Growth'!Q12,NA())</x:f>
        <x:v>#N/A</x:v>
      </x:c>
      <x:c r="Q43" s="91" t="e">
        <x:f>IF('Dashboard'!$C$21="Yes",'Indexed Growth'!R12,NA())</x:f>
        <x:v>#N/A</x:v>
      </x:c>
    </x:row>
    <x:row r="44">
      <x:c r="A44" s="45" t="n">
        <x:f>'Indexed Growth'!A13</x:f>
        <x:v>2008</x:v>
      </x:c>
      <x:c r="B44" s="91" t="e">
        <x:f>IF('Dashboard'!$C$6="Yes",'Indexed Growth'!C13,NA())</x:f>
        <x:v>#N/A</x:v>
      </x:c>
      <x:c r="C44" s="91" t="e">
        <x:f>IF('Dashboard'!$C$7="Yes",'Indexed Growth'!D13,NA())</x:f>
        <x:v>#N/A</x:v>
      </x:c>
      <x:c r="D44" s="91" t="e">
        <x:f>IF('Dashboard'!$C$8="Yes",'Indexed Growth'!E13,NA())</x:f>
        <x:v>#N/A</x:v>
      </x:c>
      <x:c r="E44" s="91" t="n">
        <x:f>IF('Dashboard'!$C$9="Yes",'Indexed Growth'!F13,NA())</x:f>
        <x:v>125.7823482966472</x:v>
      </x:c>
      <x:c r="F44" s="91" t="e">
        <x:f>IF('Dashboard'!$C$10="Yes",'Indexed Growth'!G13,NA())</x:f>
        <x:v>#N/A</x:v>
      </x:c>
      <x:c r="G44" s="91" t="e">
        <x:f>IF('Dashboard'!$C$11="Yes",'Indexed Growth'!H13,NA())</x:f>
        <x:v>#N/A</x:v>
      </x:c>
      <x:c r="H44" s="91" t="e">
        <x:f>IF('Dashboard'!$C$12="Yes",'Indexed Growth'!I13,NA())</x:f>
        <x:v>#N/A</x:v>
      </x:c>
      <x:c r="I44" s="91" t="e">
        <x:f>IF('Dashboard'!$C$13="Yes",'Indexed Growth'!J13,NA())</x:f>
        <x:v>#N/A</x:v>
      </x:c>
      <x:c r="J44" s="91" t="e">
        <x:f>IF('Dashboard'!$C$14="Yes",'Indexed Growth'!K13,NA())</x:f>
        <x:v>#N/A</x:v>
      </x:c>
      <x:c r="K44" s="91" t="e">
        <x:f>IF('Dashboard'!$C$15="Yes",'Indexed Growth'!L13,NA())</x:f>
        <x:v>#N/A</x:v>
      </x:c>
      <x:c r="L44" s="91" t="e">
        <x:f>IF('Dashboard'!$C$16="Yes",'Indexed Growth'!M13,NA())</x:f>
        <x:v>#N/A</x:v>
      </x:c>
      <x:c r="M44" s="91" t="n">
        <x:f>IF('Dashboard'!$C$17="Yes",'Indexed Growth'!N13,NA())</x:f>
        <x:v>132.98162825288816</x:v>
      </x:c>
      <x:c r="N44" s="91" t="e">
        <x:f>IF('Dashboard'!$C$18="Yes",'Indexed Growth'!O13,NA())</x:f>
        <x:v>#N/A</x:v>
      </x:c>
      <x:c r="O44" s="91" t="e">
        <x:f>IF('Dashboard'!$C$19="Yes",'Indexed Growth'!P13,NA())</x:f>
        <x:v>#N/A</x:v>
      </x:c>
      <x:c r="P44" s="91" t="e">
        <x:f>IF('Dashboard'!$C$20="Yes",'Indexed Growth'!Q13,NA())</x:f>
        <x:v>#N/A</x:v>
      </x:c>
      <x:c r="Q44" s="91" t="e">
        <x:f>IF('Dashboard'!$C$21="Yes",'Indexed Growth'!R13,NA())</x:f>
        <x:v>#N/A</x:v>
      </x:c>
    </x:row>
    <x:row r="45">
      <x:c r="A45" s="45" t="n">
        <x:f>'Indexed Growth'!A14</x:f>
        <x:v>2009</x:v>
      </x:c>
      <x:c r="B45" s="91" t="e">
        <x:f>IF('Dashboard'!$C$6="Yes",'Indexed Growth'!C14,NA())</x:f>
        <x:v>#N/A</x:v>
      </x:c>
      <x:c r="C45" s="91" t="e">
        <x:f>IF('Dashboard'!$C$7="Yes",'Indexed Growth'!D14,NA())</x:f>
        <x:v>#N/A</x:v>
      </x:c>
      <x:c r="D45" s="91" t="e">
        <x:f>IF('Dashboard'!$C$8="Yes",'Indexed Growth'!E14,NA())</x:f>
        <x:v>#N/A</x:v>
      </x:c>
      <x:c r="E45" s="91" t="n">
        <x:f>IF('Dashboard'!$C$9="Yes",'Indexed Growth'!F14,NA())</x:f>
        <x:v>130.20779170758948</x:v>
      </x:c>
      <x:c r="F45" s="91" t="e">
        <x:f>IF('Dashboard'!$C$10="Yes",'Indexed Growth'!G14,NA())</x:f>
        <x:v>#N/A</x:v>
      </x:c>
      <x:c r="G45" s="91" t="e">
        <x:f>IF('Dashboard'!$C$11="Yes",'Indexed Growth'!H14,NA())</x:f>
        <x:v>#N/A</x:v>
      </x:c>
      <x:c r="H45" s="91" t="e">
        <x:f>IF('Dashboard'!$C$12="Yes",'Indexed Growth'!I14,NA())</x:f>
        <x:v>#N/A</x:v>
      </x:c>
      <x:c r="I45" s="91" t="e">
        <x:f>IF('Dashboard'!$C$13="Yes",'Indexed Growth'!J14,NA())</x:f>
        <x:v>#N/A</x:v>
      </x:c>
      <x:c r="J45" s="91" t="e">
        <x:f>IF('Dashboard'!$C$14="Yes",'Indexed Growth'!K14,NA())</x:f>
        <x:v>#N/A</x:v>
      </x:c>
      <x:c r="K45" s="91" t="e">
        <x:f>IF('Dashboard'!$C$15="Yes",'Indexed Growth'!L14,NA())</x:f>
        <x:v>#N/A</x:v>
      </x:c>
      <x:c r="L45" s="91" t="e">
        <x:f>IF('Dashboard'!$C$16="Yes",'Indexed Growth'!M14,NA())</x:f>
        <x:v>#N/A</x:v>
      </x:c>
      <x:c r="M45" s="91" t="n">
        <x:f>IF('Dashboard'!$C$17="Yes",'Indexed Growth'!N14,NA())</x:f>
        <x:v>141.42135983430336</x:v>
      </x:c>
      <x:c r="N45" s="91" t="e">
        <x:f>IF('Dashboard'!$C$18="Yes",'Indexed Growth'!O14,NA())</x:f>
        <x:v>#N/A</x:v>
      </x:c>
      <x:c r="O45" s="91" t="e">
        <x:f>IF('Dashboard'!$C$19="Yes",'Indexed Growth'!P14,NA())</x:f>
        <x:v>#N/A</x:v>
      </x:c>
      <x:c r="P45" s="91" t="e">
        <x:f>IF('Dashboard'!$C$20="Yes",'Indexed Growth'!Q14,NA())</x:f>
        <x:v>#N/A</x:v>
      </x:c>
      <x:c r="Q45" s="91" t="e">
        <x:f>IF('Dashboard'!$C$21="Yes",'Indexed Growth'!R14,NA())</x:f>
        <x:v>#N/A</x:v>
      </x:c>
    </x:row>
    <x:row r="46">
      <x:c r="A46" s="45" t="n">
        <x:f>'Indexed Growth'!A15</x:f>
        <x:v>2010</x:v>
      </x:c>
      <x:c r="B46" s="91" t="e">
        <x:f>IF('Dashboard'!$C$6="Yes",'Indexed Growth'!C15,NA())</x:f>
        <x:v>#N/A</x:v>
      </x:c>
      <x:c r="C46" s="91" t="e">
        <x:f>IF('Dashboard'!$C$7="Yes",'Indexed Growth'!D15,NA())</x:f>
        <x:v>#N/A</x:v>
      </x:c>
      <x:c r="D46" s="91" t="e">
        <x:f>IF('Dashboard'!$C$8="Yes",'Indexed Growth'!E15,NA())</x:f>
        <x:v>#N/A</x:v>
      </x:c>
      <x:c r="E46" s="91" t="n">
        <x:f>IF('Dashboard'!$C$9="Yes",'Indexed Growth'!F15,NA())</x:f>
        <x:v>132.51102509291889</x:v>
      </x:c>
      <x:c r="F46" s="91" t="e">
        <x:f>IF('Dashboard'!$C$10="Yes",'Indexed Growth'!G15,NA())</x:f>
        <x:v>#N/A</x:v>
      </x:c>
      <x:c r="G46" s="91" t="e">
        <x:f>IF('Dashboard'!$C$11="Yes",'Indexed Growth'!H15,NA())</x:f>
        <x:v>#N/A</x:v>
      </x:c>
      <x:c r="H46" s="91" t="e">
        <x:f>IF('Dashboard'!$C$12="Yes",'Indexed Growth'!I15,NA())</x:f>
        <x:v>#N/A</x:v>
      </x:c>
      <x:c r="I46" s="91" t="e">
        <x:f>IF('Dashboard'!$C$13="Yes",'Indexed Growth'!J15,NA())</x:f>
        <x:v>#N/A</x:v>
      </x:c>
      <x:c r="J46" s="91" t="e">
        <x:f>IF('Dashboard'!$C$14="Yes",'Indexed Growth'!K15,NA())</x:f>
        <x:v>#N/A</x:v>
      </x:c>
      <x:c r="K46" s="91" t="e">
        <x:f>IF('Dashboard'!$C$15="Yes",'Indexed Growth'!L15,NA())</x:f>
        <x:v>#N/A</x:v>
      </x:c>
      <x:c r="L46" s="91" t="e">
        <x:f>IF('Dashboard'!$C$16="Yes",'Indexed Growth'!M15,NA())</x:f>
        <x:v>#N/A</x:v>
      </x:c>
      <x:c r="M46" s="91" t="n">
        <x:f>IF('Dashboard'!$C$17="Yes",'Indexed Growth'!N15,NA())</x:f>
        <x:v>141.73897607190952</x:v>
      </x:c>
      <x:c r="N46" s="91" t="e">
        <x:f>IF('Dashboard'!$C$18="Yes",'Indexed Growth'!O15,NA())</x:f>
        <x:v>#N/A</x:v>
      </x:c>
      <x:c r="O46" s="91" t="e">
        <x:f>IF('Dashboard'!$C$19="Yes",'Indexed Growth'!P15,NA())</x:f>
        <x:v>#N/A</x:v>
      </x:c>
      <x:c r="P46" s="91" t="e">
        <x:f>IF('Dashboard'!$C$20="Yes",'Indexed Growth'!Q15,NA())</x:f>
        <x:v>#N/A</x:v>
      </x:c>
      <x:c r="Q46" s="91" t="e">
        <x:f>IF('Dashboard'!$C$21="Yes",'Indexed Growth'!R15,NA())</x:f>
        <x:v>#N/A</x:v>
      </x:c>
    </x:row>
    <x:row r="47">
      <x:c r="A47" s="45" t="n">
        <x:f>'Indexed Growth'!A16</x:f>
        <x:v>2011</x:v>
      </x:c>
      <x:c r="B47" s="91" t="e">
        <x:f>IF('Dashboard'!$C$6="Yes",'Indexed Growth'!C16,NA())</x:f>
        <x:v>#N/A</x:v>
      </x:c>
      <x:c r="C47" s="91" t="e">
        <x:f>IF('Dashboard'!$C$7="Yes",'Indexed Growth'!D16,NA())</x:f>
        <x:v>#N/A</x:v>
      </x:c>
      <x:c r="D47" s="91" t="e">
        <x:f>IF('Dashboard'!$C$8="Yes",'Indexed Growth'!E16,NA())</x:f>
        <x:v>#N/A</x:v>
      </x:c>
      <x:c r="E47" s="91" t="n">
        <x:f>IF('Dashboard'!$C$9="Yes",'Indexed Growth'!F16,NA())</x:f>
        <x:v>132.51102509291889</x:v>
      </x:c>
      <x:c r="F47" s="91" t="e">
        <x:f>IF('Dashboard'!$C$10="Yes",'Indexed Growth'!G16,NA())</x:f>
        <x:v>#N/A</x:v>
      </x:c>
      <x:c r="G47" s="91" t="e">
        <x:f>IF('Dashboard'!$C$11="Yes",'Indexed Growth'!H16,NA())</x:f>
        <x:v>#N/A</x:v>
      </x:c>
      <x:c r="H47" s="91" t="e">
        <x:f>IF('Dashboard'!$C$12="Yes",'Indexed Growth'!I16,NA())</x:f>
        <x:v>#N/A</x:v>
      </x:c>
      <x:c r="I47" s="91" t="e">
        <x:f>IF('Dashboard'!$C$13="Yes",'Indexed Growth'!J16,NA())</x:f>
        <x:v>#N/A</x:v>
      </x:c>
      <x:c r="J47" s="91" t="e">
        <x:f>IF('Dashboard'!$C$14="Yes",'Indexed Growth'!K16,NA())</x:f>
        <x:v>#N/A</x:v>
      </x:c>
      <x:c r="K47" s="91" t="e">
        <x:f>IF('Dashboard'!$C$15="Yes",'Indexed Growth'!L16,NA())</x:f>
        <x:v>#N/A</x:v>
      </x:c>
      <x:c r="L47" s="91" t="e">
        <x:f>IF('Dashboard'!$C$16="Yes",'Indexed Growth'!M16,NA())</x:f>
        <x:v>#N/A</x:v>
      </x:c>
      <x:c r="M47" s="91" t="n">
        <x:f>IF('Dashboard'!$C$17="Yes",'Indexed Growth'!N16,NA())</x:f>
        <x:v>146.15687975298698</x:v>
      </x:c>
      <x:c r="N47" s="91" t="e">
        <x:f>IF('Dashboard'!$C$18="Yes",'Indexed Growth'!O16,NA())</x:f>
        <x:v>#N/A</x:v>
      </x:c>
      <x:c r="O47" s="91" t="e">
        <x:f>IF('Dashboard'!$C$19="Yes",'Indexed Growth'!P16,NA())</x:f>
        <x:v>#N/A</x:v>
      </x:c>
      <x:c r="P47" s="91" t="e">
        <x:f>IF('Dashboard'!$C$20="Yes",'Indexed Growth'!Q16,NA())</x:f>
        <x:v>#N/A</x:v>
      </x:c>
      <x:c r="Q47" s="91" t="e">
        <x:f>IF('Dashboard'!$C$21="Yes",'Indexed Growth'!R16,NA())</x:f>
        <x:v>#N/A</x:v>
      </x:c>
    </x:row>
    <x:row r="48">
      <x:c r="A48" s="45" t="n">
        <x:f>'Indexed Growth'!A17</x:f>
        <x:v>2012</x:v>
      </x:c>
      <x:c r="B48" s="91" t="e">
        <x:f>IF('Dashboard'!$C$6="Yes",'Indexed Growth'!C17,NA())</x:f>
        <x:v>#N/A</x:v>
      </x:c>
      <x:c r="C48" s="91" t="e">
        <x:f>IF('Dashboard'!$C$7="Yes",'Indexed Growth'!D17,NA())</x:f>
        <x:v>#N/A</x:v>
      </x:c>
      <x:c r="D48" s="91" t="e">
        <x:f>IF('Dashboard'!$C$8="Yes",'Indexed Growth'!E17,NA())</x:f>
        <x:v>#N/A</x:v>
      </x:c>
      <x:c r="E48" s="91" t="n">
        <x:f>IF('Dashboard'!$C$9="Yes",'Indexed Growth'!F17,NA())</x:f>
        <x:v>132.51102509291889</x:v>
      </x:c>
      <x:c r="F48" s="91" t="e">
        <x:f>IF('Dashboard'!$C$10="Yes",'Indexed Growth'!G17,NA())</x:f>
        <x:v>#N/A</x:v>
      </x:c>
      <x:c r="G48" s="91" t="e">
        <x:f>IF('Dashboard'!$C$11="Yes",'Indexed Growth'!H17,NA())</x:f>
        <x:v>#N/A</x:v>
      </x:c>
      <x:c r="H48" s="91" t="e">
        <x:f>IF('Dashboard'!$C$12="Yes",'Indexed Growth'!I17,NA())</x:f>
        <x:v>#N/A</x:v>
      </x:c>
      <x:c r="I48" s="91" t="e">
        <x:f>IF('Dashboard'!$C$13="Yes",'Indexed Growth'!J17,NA())</x:f>
        <x:v>#N/A</x:v>
      </x:c>
      <x:c r="J48" s="91" t="e">
        <x:f>IF('Dashboard'!$C$14="Yes",'Indexed Growth'!K17,NA())</x:f>
        <x:v>#N/A</x:v>
      </x:c>
      <x:c r="K48" s="91" t="e">
        <x:f>IF('Dashboard'!$C$15="Yes",'Indexed Growth'!L17,NA())</x:f>
        <x:v>#N/A</x:v>
      </x:c>
      <x:c r="L48" s="91" t="e">
        <x:f>IF('Dashboard'!$C$16="Yes",'Indexed Growth'!M17,NA())</x:f>
        <x:v>#N/A</x:v>
      </x:c>
      <x:c r="M48" s="91" t="n">
        <x:f>IF('Dashboard'!$C$17="Yes",'Indexed Growth'!N17,NA())</x:f>
        <x:v>149.8039546507981</x:v>
      </x:c>
      <x:c r="N48" s="91" t="e">
        <x:f>IF('Dashboard'!$C$18="Yes",'Indexed Growth'!O17,NA())</x:f>
        <x:v>#N/A</x:v>
      </x:c>
      <x:c r="O48" s="91" t="e">
        <x:f>IF('Dashboard'!$C$19="Yes",'Indexed Growth'!P17,NA())</x:f>
        <x:v>#N/A</x:v>
      </x:c>
      <x:c r="P48" s="91" t="e">
        <x:f>IF('Dashboard'!$C$20="Yes",'Indexed Growth'!Q17,NA())</x:f>
        <x:v>#N/A</x:v>
      </x:c>
      <x:c r="Q48" s="91" t="e">
        <x:f>IF('Dashboard'!$C$21="Yes",'Indexed Growth'!R17,NA())</x:f>
        <x:v>#N/A</x:v>
      </x:c>
    </x:row>
    <x:row r="49">
      <x:c r="A49" s="45" t="n">
        <x:f>'Indexed Growth'!A18</x:f>
        <x:v>2013</x:v>
      </x:c>
      <x:c r="B49" s="91" t="e">
        <x:f>IF('Dashboard'!$C$6="Yes",'Indexed Growth'!C18,NA())</x:f>
        <x:v>#N/A</x:v>
      </x:c>
      <x:c r="C49" s="91" t="e">
        <x:f>IF('Dashboard'!$C$7="Yes",'Indexed Growth'!D18,NA())</x:f>
        <x:v>#N/A</x:v>
      </x:c>
      <x:c r="D49" s="91" t="e">
        <x:f>IF('Dashboard'!$C$8="Yes",'Indexed Growth'!E18,NA())</x:f>
        <x:v>#N/A</x:v>
      </x:c>
      <x:c r="E49" s="91" t="n">
        <x:f>IF('Dashboard'!$C$9="Yes",'Indexed Growth'!F18,NA())</x:f>
        <x:v>129.43869285790163</x:v>
      </x:c>
      <x:c r="F49" s="91" t="e">
        <x:f>IF('Dashboard'!$C$10="Yes",'Indexed Growth'!G18,NA())</x:f>
        <x:v>#N/A</x:v>
      </x:c>
      <x:c r="G49" s="91" t="e">
        <x:f>IF('Dashboard'!$C$11="Yes",'Indexed Growth'!H18,NA())</x:f>
        <x:v>#N/A</x:v>
      </x:c>
      <x:c r="H49" s="91" t="e">
        <x:f>IF('Dashboard'!$C$12="Yes",'Indexed Growth'!I18,NA())</x:f>
        <x:v>#N/A</x:v>
      </x:c>
      <x:c r="I49" s="91" t="e">
        <x:f>IF('Dashboard'!$C$13="Yes",'Indexed Growth'!J18,NA())</x:f>
        <x:v>#N/A</x:v>
      </x:c>
      <x:c r="J49" s="91" t="e">
        <x:f>IF('Dashboard'!$C$14="Yes",'Indexed Growth'!K18,NA())</x:f>
        <x:v>#N/A</x:v>
      </x:c>
      <x:c r="K49" s="91" t="e">
        <x:f>IF('Dashboard'!$C$15="Yes",'Indexed Growth'!L18,NA())</x:f>
        <x:v>#N/A</x:v>
      </x:c>
      <x:c r="L49" s="91" t="e">
        <x:f>IF('Dashboard'!$C$16="Yes",'Indexed Growth'!M18,NA())</x:f>
        <x:v>#N/A</x:v>
      </x:c>
      <x:c r="M49" s="91" t="n">
        <x:f>IF('Dashboard'!$C$17="Yes",'Indexed Growth'!N18,NA())</x:f>
        <x:v>151.29463421602043</x:v>
      </x:c>
      <x:c r="N49" s="91" t="e">
        <x:f>IF('Dashboard'!$C$18="Yes",'Indexed Growth'!O18,NA())</x:f>
        <x:v>#N/A</x:v>
      </x:c>
      <x:c r="O49" s="91" t="e">
        <x:f>IF('Dashboard'!$C$19="Yes",'Indexed Growth'!P18,NA())</x:f>
        <x:v>#N/A</x:v>
      </x:c>
      <x:c r="P49" s="91" t="e">
        <x:f>IF('Dashboard'!$C$20="Yes",'Indexed Growth'!Q18,NA())</x:f>
        <x:v>#N/A</x:v>
      </x:c>
      <x:c r="Q49" s="91" t="e">
        <x:f>IF('Dashboard'!$C$21="Yes",'Indexed Growth'!R18,NA())</x:f>
        <x:v>#N/A</x:v>
      </x:c>
    </x:row>
    <x:row r="50">
      <x:c r="A50" s="45" t="n">
        <x:f>'Indexed Growth'!A19</x:f>
        <x:v>2014</x:v>
      </x:c>
      <x:c r="B50" s="91" t="e">
        <x:f>IF('Dashboard'!$C$6="Yes",'Indexed Growth'!C19,NA())</x:f>
        <x:v>#N/A</x:v>
      </x:c>
      <x:c r="C50" s="91" t="e">
        <x:f>IF('Dashboard'!$C$7="Yes",'Indexed Growth'!D19,NA())</x:f>
        <x:v>#N/A</x:v>
      </x:c>
      <x:c r="D50" s="91" t="e">
        <x:f>IF('Dashboard'!$C$8="Yes",'Indexed Growth'!E19,NA())</x:f>
        <x:v>#N/A</x:v>
      </x:c>
      <x:c r="E50" s="91" t="n">
        <x:f>IF('Dashboard'!$C$9="Yes",'Indexed Growth'!F19,NA())</x:f>
        <x:v>128.97901178888227</x:v>
      </x:c>
      <x:c r="F50" s="91" t="e">
        <x:f>IF('Dashboard'!$C$10="Yes",'Indexed Growth'!G19,NA())</x:f>
        <x:v>#N/A</x:v>
      </x:c>
      <x:c r="G50" s="91" t="e">
        <x:f>IF('Dashboard'!$C$11="Yes",'Indexed Growth'!H19,NA())</x:f>
        <x:v>#N/A</x:v>
      </x:c>
      <x:c r="H50" s="91" t="e">
        <x:f>IF('Dashboard'!$C$12="Yes",'Indexed Growth'!I19,NA())</x:f>
        <x:v>#N/A</x:v>
      </x:c>
      <x:c r="I50" s="91" t="e">
        <x:f>IF('Dashboard'!$C$13="Yes",'Indexed Growth'!J19,NA())</x:f>
        <x:v>#N/A</x:v>
      </x:c>
      <x:c r="J50" s="91" t="e">
        <x:f>IF('Dashboard'!$C$14="Yes",'Indexed Growth'!K19,NA())</x:f>
        <x:v>#N/A</x:v>
      </x:c>
      <x:c r="K50" s="91" t="e">
        <x:f>IF('Dashboard'!$C$15="Yes",'Indexed Growth'!L19,NA())</x:f>
        <x:v>#N/A</x:v>
      </x:c>
      <x:c r="L50" s="91" t="e">
        <x:f>IF('Dashboard'!$C$16="Yes",'Indexed Growth'!M19,NA())</x:f>
        <x:v>#N/A</x:v>
      </x:c>
      <x:c r="M50" s="91" t="n">
        <x:f>IF('Dashboard'!$C$17="Yes",'Indexed Growth'!N19,NA())</x:f>
        <x:v>153.79245277159887</x:v>
      </x:c>
      <x:c r="N50" s="91" t="e">
        <x:f>IF('Dashboard'!$C$18="Yes",'Indexed Growth'!O19,NA())</x:f>
        <x:v>#N/A</x:v>
      </x:c>
      <x:c r="O50" s="91" t="e">
        <x:f>IF('Dashboard'!$C$19="Yes",'Indexed Growth'!P19,NA())</x:f>
        <x:v>#N/A</x:v>
      </x:c>
      <x:c r="P50" s="91" t="e">
        <x:f>IF('Dashboard'!$C$20="Yes",'Indexed Growth'!Q19,NA())</x:f>
        <x:v>#N/A</x:v>
      </x:c>
      <x:c r="Q50" s="91" t="e">
        <x:f>IF('Dashboard'!$C$21="Yes",'Indexed Growth'!R19,NA())</x:f>
        <x:v>#N/A</x:v>
      </x:c>
    </x:row>
    <x:row r="51">
      <x:c r="A51" s="45" t="n">
        <x:f>'Indexed Growth'!A20</x:f>
        <x:v>2015</x:v>
      </x:c>
      <x:c r="B51" s="91" t="e">
        <x:f>IF('Dashboard'!$C$6="Yes",'Indexed Growth'!C20,NA())</x:f>
        <x:v>#N/A</x:v>
      </x:c>
      <x:c r="C51" s="91" t="e">
        <x:f>IF('Dashboard'!$C$7="Yes",'Indexed Growth'!D20,NA())</x:f>
        <x:v>#N/A</x:v>
      </x:c>
      <x:c r="D51" s="91" t="e">
        <x:f>IF('Dashboard'!$C$8="Yes",'Indexed Growth'!E20,NA())</x:f>
        <x:v>#N/A</x:v>
      </x:c>
      <x:c r="E51" s="91" t="n">
        <x:f>IF('Dashboard'!$C$9="Yes",'Indexed Growth'!F20,NA())</x:f>
        <x:v>130.26885758356798</x:v>
      </x:c>
      <x:c r="F51" s="91" t="e">
        <x:f>IF('Dashboard'!$C$10="Yes",'Indexed Growth'!G20,NA())</x:f>
        <x:v>#N/A</x:v>
      </x:c>
      <x:c r="G51" s="91" t="e">
        <x:f>IF('Dashboard'!$C$11="Yes",'Indexed Growth'!H20,NA())</x:f>
        <x:v>#N/A</x:v>
      </x:c>
      <x:c r="H51" s="91" t="e">
        <x:f>IF('Dashboard'!$C$12="Yes",'Indexed Growth'!I20,NA())</x:f>
        <x:v>#N/A</x:v>
      </x:c>
      <x:c r="I51" s="91" t="e">
        <x:f>IF('Dashboard'!$C$13="Yes",'Indexed Growth'!J20,NA())</x:f>
        <x:v>#N/A</x:v>
      </x:c>
      <x:c r="J51" s="91" t="e">
        <x:f>IF('Dashboard'!$C$14="Yes",'Indexed Growth'!K20,NA())</x:f>
        <x:v>#N/A</x:v>
      </x:c>
      <x:c r="K51" s="91" t="e">
        <x:f>IF('Dashboard'!$C$15="Yes",'Indexed Growth'!L20,NA())</x:f>
        <x:v>#N/A</x:v>
      </x:c>
      <x:c r="L51" s="91" t="e">
        <x:f>IF('Dashboard'!$C$16="Yes",'Indexed Growth'!M20,NA())</x:f>
        <x:v>#N/A</x:v>
      </x:c>
      <x:c r="M51" s="91" t="n">
        <x:f>IF('Dashboard'!$C$17="Yes",'Indexed Growth'!N20,NA())</x:f>
        <x:v>152.27848376415352</x:v>
      </x:c>
      <x:c r="N51" s="91" t="e">
        <x:f>IF('Dashboard'!$C$18="Yes",'Indexed Growth'!O20,NA())</x:f>
        <x:v>#N/A</x:v>
      </x:c>
      <x:c r="O51" s="91" t="e">
        <x:f>IF('Dashboard'!$C$19="Yes",'Indexed Growth'!P20,NA())</x:f>
        <x:v>#N/A</x:v>
      </x:c>
      <x:c r="P51" s="91" t="e">
        <x:f>IF('Dashboard'!$C$20="Yes",'Indexed Growth'!Q20,NA())</x:f>
        <x:v>#N/A</x:v>
      </x:c>
      <x:c r="Q51" s="91" t="e">
        <x:f>IF('Dashboard'!$C$21="Yes",'Indexed Growth'!R20,NA())</x:f>
        <x:v>#N/A</x:v>
      </x:c>
    </x:row>
    <x:row r="52">
      <x:c r="A52" s="45" t="n">
        <x:f>'Indexed Growth'!A21</x:f>
        <x:v>2016</x:v>
      </x:c>
      <x:c r="B52" s="91" t="e">
        <x:f>IF('Dashboard'!$C$6="Yes",'Indexed Growth'!C21,NA())</x:f>
        <x:v>#N/A</x:v>
      </x:c>
      <x:c r="C52" s="91" t="e">
        <x:f>IF('Dashboard'!$C$7="Yes",'Indexed Growth'!D21,NA())</x:f>
        <x:v>#N/A</x:v>
      </x:c>
      <x:c r="D52" s="91" t="e">
        <x:f>IF('Dashboard'!$C$8="Yes",'Indexed Growth'!E21,NA())</x:f>
        <x:v>#N/A</x:v>
      </x:c>
      <x:c r="E52" s="91" t="n">
        <x:f>IF('Dashboard'!$C$9="Yes",'Indexed Growth'!F21,NA())</x:f>
        <x:v>131.79069003197415</x:v>
      </x:c>
      <x:c r="F52" s="91" t="e">
        <x:f>IF('Dashboard'!$C$10="Yes",'Indexed Growth'!G21,NA())</x:f>
        <x:v>#N/A</x:v>
      </x:c>
      <x:c r="G52" s="91" t="e">
        <x:f>IF('Dashboard'!$C$11="Yes",'Indexed Growth'!H21,NA())</x:f>
        <x:v>#N/A</x:v>
      </x:c>
      <x:c r="H52" s="91" t="e">
        <x:f>IF('Dashboard'!$C$12="Yes",'Indexed Growth'!I21,NA())</x:f>
        <x:v>#N/A</x:v>
      </x:c>
      <x:c r="I52" s="91" t="e">
        <x:f>IF('Dashboard'!$C$13="Yes",'Indexed Growth'!J21,NA())</x:f>
        <x:v>#N/A</x:v>
      </x:c>
      <x:c r="J52" s="91" t="e">
        <x:f>IF('Dashboard'!$C$14="Yes",'Indexed Growth'!K21,NA())</x:f>
        <x:v>#N/A</x:v>
      </x:c>
      <x:c r="K52" s="91" t="e">
        <x:f>IF('Dashboard'!$C$15="Yes",'Indexed Growth'!L21,NA())</x:f>
        <x:v>#N/A</x:v>
      </x:c>
      <x:c r="L52" s="91" t="e">
        <x:f>IF('Dashboard'!$C$16="Yes",'Indexed Growth'!M21,NA())</x:f>
        <x:v>#N/A</x:v>
      </x:c>
      <x:c r="M52" s="91" t="n">
        <x:f>IF('Dashboard'!$C$17="Yes",'Indexed Growth'!N21,NA())</x:f>
        <x:v>155.50557238720918</x:v>
      </x:c>
      <x:c r="N52" s="91" t="e">
        <x:f>IF('Dashboard'!$C$18="Yes",'Indexed Growth'!O21,NA())</x:f>
        <x:v>#N/A</x:v>
      </x:c>
      <x:c r="O52" s="91" t="e">
        <x:f>IF('Dashboard'!$C$19="Yes",'Indexed Growth'!P21,NA())</x:f>
        <x:v>#N/A</x:v>
      </x:c>
      <x:c r="P52" s="91" t="e">
        <x:f>IF('Dashboard'!$C$20="Yes",'Indexed Growth'!Q21,NA())</x:f>
        <x:v>#N/A</x:v>
      </x:c>
      <x:c r="Q52" s="91" t="e">
        <x:f>IF('Dashboard'!$C$21="Yes",'Indexed Growth'!R21,NA())</x:f>
        <x:v>#N/A</x:v>
      </x:c>
    </x:row>
    <x:row r="53">
      <x:c r="A53" s="45" t="n">
        <x:f>'Indexed Growth'!A22</x:f>
        <x:v>2017</x:v>
      </x:c>
      <x:c r="B53" s="91" t="e">
        <x:f>IF('Dashboard'!$C$6="Yes",'Indexed Growth'!C22,NA())</x:f>
        <x:v>#N/A</x:v>
      </x:c>
      <x:c r="C53" s="91" t="e">
        <x:f>IF('Dashboard'!$C$7="Yes",'Indexed Growth'!D22,NA())</x:f>
        <x:v>#N/A</x:v>
      </x:c>
      <x:c r="D53" s="91" t="e">
        <x:f>IF('Dashboard'!$C$8="Yes",'Indexed Growth'!E22,NA())</x:f>
        <x:v>#N/A</x:v>
      </x:c>
      <x:c r="E53" s="91" t="n">
        <x:f>IF('Dashboard'!$C$9="Yes",'Indexed Growth'!F22,NA())</x:f>
        <x:v>133.93610260558088</x:v>
      </x:c>
      <x:c r="F53" s="91" t="e">
        <x:f>IF('Dashboard'!$C$10="Yes",'Indexed Growth'!G22,NA())</x:f>
        <x:v>#N/A</x:v>
      </x:c>
      <x:c r="G53" s="91" t="e">
        <x:f>IF('Dashboard'!$C$11="Yes",'Indexed Growth'!H22,NA())</x:f>
        <x:v>#N/A</x:v>
      </x:c>
      <x:c r="H53" s="91" t="e">
        <x:f>IF('Dashboard'!$C$12="Yes",'Indexed Growth'!I22,NA())</x:f>
        <x:v>#N/A</x:v>
      </x:c>
      <x:c r="I53" s="91" t="e">
        <x:f>IF('Dashboard'!$C$13="Yes",'Indexed Growth'!J22,NA())</x:f>
        <x:v>#N/A</x:v>
      </x:c>
      <x:c r="J53" s="91" t="e">
        <x:f>IF('Dashboard'!$C$14="Yes",'Indexed Growth'!K22,NA())</x:f>
        <x:v>#N/A</x:v>
      </x:c>
      <x:c r="K53" s="91" t="e">
        <x:f>IF('Dashboard'!$C$15="Yes",'Indexed Growth'!L22,NA())</x:f>
        <x:v>#N/A</x:v>
      </x:c>
      <x:c r="L53" s="91" t="e">
        <x:f>IF('Dashboard'!$C$16="Yes",'Indexed Growth'!M22,NA())</x:f>
        <x:v>#N/A</x:v>
      </x:c>
      <x:c r="M53" s="91" t="n">
        <x:f>IF('Dashboard'!$C$17="Yes",'Indexed Growth'!N22,NA())</x:f>
        <x:v>159.09711490389742</x:v>
      </x:c>
      <x:c r="N53" s="91" t="e">
        <x:f>IF('Dashboard'!$C$18="Yes",'Indexed Growth'!O22,NA())</x:f>
        <x:v>#N/A</x:v>
      </x:c>
      <x:c r="O53" s="91" t="e">
        <x:f>IF('Dashboard'!$C$19="Yes",'Indexed Growth'!P22,NA())</x:f>
        <x:v>#N/A</x:v>
      </x:c>
      <x:c r="P53" s="91" t="e">
        <x:f>IF('Dashboard'!$C$20="Yes",'Indexed Growth'!Q22,NA())</x:f>
        <x:v>#N/A</x:v>
      </x:c>
      <x:c r="Q53" s="91" t="e">
        <x:f>IF('Dashboard'!$C$21="Yes",'Indexed Growth'!R22,NA())</x:f>
        <x:v>#N/A</x:v>
      </x:c>
    </x:row>
    <x:row r="54">
      <x:c r="A54" s="45" t="n">
        <x:f>'Indexed Growth'!A23</x:f>
        <x:v>2018</x:v>
      </x:c>
      <x:c r="B54" s="91" t="e">
        <x:f>IF('Dashboard'!$C$6="Yes",'Indexed Growth'!C23,NA())</x:f>
        <x:v>#N/A</x:v>
      </x:c>
      <x:c r="C54" s="91" t="e">
        <x:f>IF('Dashboard'!$C$7="Yes",'Indexed Growth'!D23,NA())</x:f>
        <x:v>#N/A</x:v>
      </x:c>
      <x:c r="D54" s="91" t="e">
        <x:f>IF('Dashboard'!$C$8="Yes",'Indexed Growth'!E23,NA())</x:f>
        <x:v>#N/A</x:v>
      </x:c>
      <x:c r="E54" s="91" t="n">
        <x:f>IF('Dashboard'!$C$9="Yes",'Indexed Growth'!F23,NA())</x:f>
        <x:v>136.17616573390558</x:v>
      </x:c>
      <x:c r="F54" s="91" t="e">
        <x:f>IF('Dashboard'!$C$10="Yes",'Indexed Growth'!G23,NA())</x:f>
        <x:v>#N/A</x:v>
      </x:c>
      <x:c r="G54" s="91" t="e">
        <x:f>IF('Dashboard'!$C$11="Yes",'Indexed Growth'!H23,NA())</x:f>
        <x:v>#N/A</x:v>
      </x:c>
      <x:c r="H54" s="91" t="e">
        <x:f>IF('Dashboard'!$C$12="Yes",'Indexed Growth'!I23,NA())</x:f>
        <x:v>#N/A</x:v>
      </x:c>
      <x:c r="I54" s="91" t="e">
        <x:f>IF('Dashboard'!$C$13="Yes",'Indexed Growth'!J23,NA())</x:f>
        <x:v>#N/A</x:v>
      </x:c>
      <x:c r="J54" s="91" t="e">
        <x:f>IF('Dashboard'!$C$14="Yes",'Indexed Growth'!K23,NA())</x:f>
        <x:v>#N/A</x:v>
      </x:c>
      <x:c r="K54" s="91" t="e">
        <x:f>IF('Dashboard'!$C$15="Yes",'Indexed Growth'!L23,NA())</x:f>
        <x:v>#N/A</x:v>
      </x:c>
      <x:c r="L54" s="91" t="e">
        <x:f>IF('Dashboard'!$C$16="Yes",'Indexed Growth'!M23,NA())</x:f>
        <x:v>#N/A</x:v>
      </x:c>
      <x:c r="M54" s="91" t="n">
        <x:f>IF('Dashboard'!$C$17="Yes",'Indexed Growth'!N23,NA())</x:f>
        <x:v>164.42165069355954</x:v>
      </x:c>
      <x:c r="N54" s="91" t="e">
        <x:f>IF('Dashboard'!$C$18="Yes",'Indexed Growth'!O23,NA())</x:f>
        <x:v>#N/A</x:v>
      </x:c>
      <x:c r="O54" s="91" t="e">
        <x:f>IF('Dashboard'!$C$19="Yes",'Indexed Growth'!P23,NA())</x:f>
        <x:v>#N/A</x:v>
      </x:c>
      <x:c r="P54" s="91" t="e">
        <x:f>IF('Dashboard'!$C$20="Yes",'Indexed Growth'!Q23,NA())</x:f>
        <x:v>#N/A</x:v>
      </x:c>
      <x:c r="Q54" s="91" t="e">
        <x:f>IF('Dashboard'!$C$21="Yes",'Indexed Growth'!R23,NA())</x:f>
        <x:v>#N/A</x:v>
      </x:c>
    </x:row>
    <x:row r="55">
      <x:c r="A55" s="45" t="n">
        <x:f>'Indexed Growth'!A24</x:f>
        <x:v>2019</x:v>
      </x:c>
      <x:c r="B55" s="91" t="e">
        <x:f>IF('Dashboard'!$C$6="Yes",'Indexed Growth'!C24,NA())</x:f>
        <x:v>#N/A</x:v>
      </x:c>
      <x:c r="C55" s="91" t="e">
        <x:f>IF('Dashboard'!$C$7="Yes",'Indexed Growth'!D24,NA())</x:f>
        <x:v>#N/A</x:v>
      </x:c>
      <x:c r="D55" s="91" t="e">
        <x:f>IF('Dashboard'!$C$8="Yes",'Indexed Growth'!E24,NA())</x:f>
        <x:v>#N/A</x:v>
      </x:c>
      <x:c r="E55" s="91" t="n">
        <x:f>IF('Dashboard'!$C$9="Yes",'Indexed Growth'!F24,NA())</x:f>
        <x:v>138.44221136744696</x:v>
      </x:c>
      <x:c r="F55" s="91" t="e">
        <x:f>IF('Dashboard'!$C$10="Yes",'Indexed Growth'!G24,NA())</x:f>
        <x:v>#N/A</x:v>
      </x:c>
      <x:c r="G55" s="91" t="e">
        <x:f>IF('Dashboard'!$C$11="Yes",'Indexed Growth'!H24,NA())</x:f>
        <x:v>#N/A</x:v>
      </x:c>
      <x:c r="H55" s="91" t="e">
        <x:f>IF('Dashboard'!$C$12="Yes",'Indexed Growth'!I24,NA())</x:f>
        <x:v>#N/A</x:v>
      </x:c>
      <x:c r="I55" s="91" t="e">
        <x:f>IF('Dashboard'!$C$13="Yes",'Indexed Growth'!J24,NA())</x:f>
        <x:v>#N/A</x:v>
      </x:c>
      <x:c r="J55" s="91" t="e">
        <x:f>IF('Dashboard'!$C$14="Yes",'Indexed Growth'!K24,NA())</x:f>
        <x:v>#N/A</x:v>
      </x:c>
      <x:c r="K55" s="91" t="e">
        <x:f>IF('Dashboard'!$C$15="Yes",'Indexed Growth'!L24,NA())</x:f>
        <x:v>#N/A</x:v>
      </x:c>
      <x:c r="L55" s="91" t="e">
        <x:f>IF('Dashboard'!$C$16="Yes",'Indexed Growth'!M24,NA())</x:f>
        <x:v>#N/A</x:v>
      </x:c>
      <x:c r="M55" s="91" t="n">
        <x:f>IF('Dashboard'!$C$17="Yes",'Indexed Growth'!N24,NA())</x:f>
        <x:v>168.39296638143136</x:v>
      </x:c>
      <x:c r="N55" s="91" t="e">
        <x:f>IF('Dashboard'!$C$18="Yes",'Indexed Growth'!O24,NA())</x:f>
        <x:v>#N/A</x:v>
      </x:c>
      <x:c r="O55" s="91" t="e">
        <x:f>IF('Dashboard'!$C$19="Yes",'Indexed Growth'!P24,NA())</x:f>
        <x:v>#N/A</x:v>
      </x:c>
      <x:c r="P55" s="91" t="e">
        <x:f>IF('Dashboard'!$C$20="Yes",'Indexed Growth'!Q24,NA())</x:f>
        <x:v>#N/A</x:v>
      </x:c>
      <x:c r="Q55" s="91" t="e">
        <x:f>IF('Dashboard'!$C$21="Yes",'Indexed Growth'!R24,NA())</x:f>
        <x:v>#N/A</x:v>
      </x:c>
    </x:row>
    <x:row r="56">
      <x:c r="A56" s="45" t="n">
        <x:f>'Indexed Growth'!A25</x:f>
        <x:v>2020</x:v>
      </x:c>
      <x:c r="B56" s="91" t="e">
        <x:f>IF('Dashboard'!$C$6="Yes",'Indexed Growth'!C25,NA())</x:f>
        <x:v>#N/A</x:v>
      </x:c>
      <x:c r="C56" s="91" t="e">
        <x:f>IF('Dashboard'!$C$7="Yes",'Indexed Growth'!D25,NA())</x:f>
        <x:v>#N/A</x:v>
      </x:c>
      <x:c r="D56" s="91" t="e">
        <x:f>IF('Dashboard'!$C$8="Yes",'Indexed Growth'!E25,NA())</x:f>
        <x:v>#N/A</x:v>
      </x:c>
      <x:c r="E56" s="91" t="n">
        <x:f>IF('Dashboard'!$C$9="Yes",'Indexed Growth'!F25,NA())</x:f>
        <x:v>142.38598448069467</x:v>
      </x:c>
      <x:c r="F56" s="91" t="e">
        <x:f>IF('Dashboard'!$C$10="Yes",'Indexed Growth'!G25,NA())</x:f>
        <x:v>#N/A</x:v>
      </x:c>
      <x:c r="G56" s="91" t="e">
        <x:f>IF('Dashboard'!$C$11="Yes",'Indexed Growth'!H25,NA())</x:f>
        <x:v>#N/A</x:v>
      </x:c>
      <x:c r="H56" s="91" t="e">
        <x:f>IF('Dashboard'!$C$12="Yes",'Indexed Growth'!I25,NA())</x:f>
        <x:v>#N/A</x:v>
      </x:c>
      <x:c r="I56" s="91" t="e">
        <x:f>IF('Dashboard'!$C$13="Yes",'Indexed Growth'!J25,NA())</x:f>
        <x:v>#N/A</x:v>
      </x:c>
      <x:c r="J56" s="91" t="e">
        <x:f>IF('Dashboard'!$C$14="Yes",'Indexed Growth'!K25,NA())</x:f>
        <x:v>#N/A</x:v>
      </x:c>
      <x:c r="K56" s="91" t="e">
        <x:f>IF('Dashboard'!$C$15="Yes",'Indexed Growth'!L25,NA())</x:f>
        <x:v>#N/A</x:v>
      </x:c>
      <x:c r="L56" s="91" t="e">
        <x:f>IF('Dashboard'!$C$16="Yes",'Indexed Growth'!M25,NA())</x:f>
        <x:v>#N/A</x:v>
      </x:c>
      <x:c r="M56" s="91" t="n">
        <x:f>IF('Dashboard'!$C$17="Yes",'Indexed Growth'!N25,NA())</x:f>
        <x:v>173.02409784463975</x:v>
      </x:c>
      <x:c r="N56" s="91" t="e">
        <x:f>IF('Dashboard'!$C$18="Yes",'Indexed Growth'!O25,NA())</x:f>
        <x:v>#N/A</x:v>
      </x:c>
      <x:c r="O56" s="91" t="e">
        <x:f>IF('Dashboard'!$C$19="Yes",'Indexed Growth'!P25,NA())</x:f>
        <x:v>#N/A</x:v>
      </x:c>
      <x:c r="P56" s="91" t="e">
        <x:f>IF('Dashboard'!$C$20="Yes",'Indexed Growth'!Q25,NA())</x:f>
        <x:v>#N/A</x:v>
      </x:c>
      <x:c r="Q56" s="91" t="e">
        <x:f>IF('Dashboard'!$C$21="Yes",'Indexed Growth'!R25,NA())</x:f>
        <x:v>#N/A</x:v>
      </x:c>
    </x:row>
    <x:row r="57">
      <x:c r="A57" s="45" t="n">
        <x:f>'Indexed Growth'!A26</x:f>
        <x:v>2021</x:v>
      </x:c>
      <x:c r="B57" s="91" t="e">
        <x:f>IF('Dashboard'!$C$6="Yes",'Indexed Growth'!C26,NA())</x:f>
        <x:v>#N/A</x:v>
      </x:c>
      <x:c r="C57" s="91" t="e">
        <x:f>IF('Dashboard'!$C$7="Yes",'Indexed Growth'!D26,NA())</x:f>
        <x:v>#N/A</x:v>
      </x:c>
      <x:c r="D57" s="91" t="e">
        <x:f>IF('Dashboard'!$C$8="Yes",'Indexed Growth'!E26,NA())</x:f>
        <x:v>#N/A</x:v>
      </x:c>
      <x:c r="E57" s="91" t="n">
        <x:f>IF('Dashboard'!$C$9="Yes",'Indexed Growth'!F26,NA())</x:f>
        <x:v>143.80945458792334</x:v>
      </x:c>
      <x:c r="F57" s="91" t="e">
        <x:f>IF('Dashboard'!$C$10="Yes",'Indexed Growth'!G26,NA())</x:f>
        <x:v>#N/A</x:v>
      </x:c>
      <x:c r="G57" s="91" t="e">
        <x:f>IF('Dashboard'!$C$11="Yes",'Indexed Growth'!H26,NA())</x:f>
        <x:v>#N/A</x:v>
      </x:c>
      <x:c r="H57" s="91" t="e">
        <x:f>IF('Dashboard'!$C$12="Yes",'Indexed Growth'!I26,NA())</x:f>
        <x:v>#N/A</x:v>
      </x:c>
      <x:c r="I57" s="91" t="e">
        <x:f>IF('Dashboard'!$C$13="Yes",'Indexed Growth'!J26,NA())</x:f>
        <x:v>#N/A</x:v>
      </x:c>
      <x:c r="J57" s="91" t="e">
        <x:f>IF('Dashboard'!$C$14="Yes",'Indexed Growth'!K26,NA())</x:f>
        <x:v>#N/A</x:v>
      </x:c>
      <x:c r="K57" s="91" t="e">
        <x:f>IF('Dashboard'!$C$15="Yes",'Indexed Growth'!L26,NA())</x:f>
        <x:v>#N/A</x:v>
      </x:c>
      <x:c r="L57" s="91" t="e">
        <x:f>IF('Dashboard'!$C$16="Yes",'Indexed Growth'!M26,NA())</x:f>
        <x:v>#N/A</x:v>
      </x:c>
      <x:c r="M57" s="91" t="n">
        <x:f>IF('Dashboard'!$C$17="Yes",'Indexed Growth'!N26,NA())</x:f>
        <x:v>180.3975870067684</x:v>
      </x:c>
      <x:c r="N57" s="91" t="e">
        <x:f>IF('Dashboard'!$C$18="Yes",'Indexed Growth'!O26,NA())</x:f>
        <x:v>#N/A</x:v>
      </x:c>
      <x:c r="O57" s="91" t="e">
        <x:f>IF('Dashboard'!$C$19="Yes",'Indexed Growth'!P26,NA())</x:f>
        <x:v>#N/A</x:v>
      </x:c>
      <x:c r="P57" s="91" t="e">
        <x:f>IF('Dashboard'!$C$20="Yes",'Indexed Growth'!Q26,NA())</x:f>
        <x:v>#N/A</x:v>
      </x:c>
      <x:c r="Q57" s="91" t="e">
        <x:f>IF('Dashboard'!$C$21="Yes",'Indexed Growth'!R26,NA())</x:f>
        <x:v>#N/A</x:v>
      </x:c>
    </x:row>
    <x:row r="58">
      <x:c r="A58" s="45" t="n">
        <x:f>'Indexed Growth'!A27</x:f>
        <x:v>2022</x:v>
      </x:c>
      <x:c r="B58" s="91" t="e">
        <x:f>IF('Dashboard'!$C$6="Yes",'Indexed Growth'!C27,NA())</x:f>
        <x:v>#N/A</x:v>
      </x:c>
      <x:c r="C58" s="91" t="e">
        <x:f>IF('Dashboard'!$C$7="Yes",'Indexed Growth'!D27,NA())</x:f>
        <x:v>#N/A</x:v>
      </x:c>
      <x:c r="D58" s="91" t="e">
        <x:f>IF('Dashboard'!$C$8="Yes",'Indexed Growth'!E27,NA())</x:f>
        <x:v>#N/A</x:v>
      </x:c>
      <x:c r="E58" s="91" t="n">
        <x:f>IF('Dashboard'!$C$9="Yes",'Indexed Growth'!F27,NA())</x:f>
        <x:v>147.28925439373012</x:v>
      </x:c>
      <x:c r="F58" s="91" t="e">
        <x:f>IF('Dashboard'!$C$10="Yes",'Indexed Growth'!G27,NA())</x:f>
        <x:v>#N/A</x:v>
      </x:c>
      <x:c r="G58" s="91" t="e">
        <x:f>IF('Dashboard'!$C$11="Yes",'Indexed Growth'!H27,NA())</x:f>
        <x:v>#N/A</x:v>
      </x:c>
      <x:c r="H58" s="91" t="e">
        <x:f>IF('Dashboard'!$C$12="Yes",'Indexed Growth'!I27,NA())</x:f>
        <x:v>#N/A</x:v>
      </x:c>
      <x:c r="I58" s="91" t="e">
        <x:f>IF('Dashboard'!$C$13="Yes",'Indexed Growth'!J27,NA())</x:f>
        <x:v>#N/A</x:v>
      </x:c>
      <x:c r="J58" s="91" t="e">
        <x:f>IF('Dashboard'!$C$14="Yes",'Indexed Growth'!K27,NA())</x:f>
        <x:v>#N/A</x:v>
      </x:c>
      <x:c r="K58" s="91" t="e">
        <x:f>IF('Dashboard'!$C$15="Yes",'Indexed Growth'!L27,NA())</x:f>
        <x:v>#N/A</x:v>
      </x:c>
      <x:c r="L58" s="91" t="e">
        <x:f>IF('Dashboard'!$C$16="Yes",'Indexed Growth'!M27,NA())</x:f>
        <x:v>#N/A</x:v>
      </x:c>
      <x:c r="M58" s="91" t="n">
        <x:f>IF('Dashboard'!$C$17="Yes",'Indexed Growth'!N27,NA())</x:f>
        <x:v>186.99683160077134</x:v>
      </x:c>
      <x:c r="N58" s="91" t="e">
        <x:f>IF('Dashboard'!$C$18="Yes",'Indexed Growth'!O27,NA())</x:f>
        <x:v>#N/A</x:v>
      </x:c>
      <x:c r="O58" s="91" t="e">
        <x:f>IF('Dashboard'!$C$19="Yes",'Indexed Growth'!P27,NA())</x:f>
        <x:v>#N/A</x:v>
      </x:c>
      <x:c r="P58" s="91" t="e">
        <x:f>IF('Dashboard'!$C$20="Yes",'Indexed Growth'!Q27,NA())</x:f>
        <x:v>#N/A</x:v>
      </x:c>
      <x:c r="Q58" s="91" t="e">
        <x:f>IF('Dashboard'!$C$21="Yes",'Indexed Growth'!R27,NA())</x:f>
        <x:v>#N/A</x:v>
      </x:c>
    </x:row>
    <x:row r="59">
      <x:c r="A59" s="45" t="n">
        <x:f>'Indexed Growth'!A28</x:f>
        <x:v>2023</x:v>
      </x:c>
      <x:c r="B59" s="91" t="e">
        <x:f>IF('Dashboard'!$C$6="Yes",'Indexed Growth'!C28,NA())</x:f>
        <x:v>#N/A</x:v>
      </x:c>
      <x:c r="C59" s="91" t="e">
        <x:f>IF('Dashboard'!$C$7="Yes",'Indexed Growth'!D28,NA())</x:f>
        <x:v>#N/A</x:v>
      </x:c>
      <x:c r="D59" s="91" t="e">
        <x:f>IF('Dashboard'!$C$8="Yes",'Indexed Growth'!E28,NA())</x:f>
        <x:v>#N/A</x:v>
      </x:c>
      <x:c r="E59" s="91" t="n">
        <x:f>IF('Dashboard'!$C$9="Yes",'Indexed Growth'!F28,NA())</x:f>
        <x:v>153.72363622132062</x:v>
      </x:c>
      <x:c r="F59" s="91" t="e">
        <x:f>IF('Dashboard'!$C$10="Yes",'Indexed Growth'!G28,NA())</x:f>
        <x:v>#N/A</x:v>
      </x:c>
      <x:c r="G59" s="91" t="e">
        <x:f>IF('Dashboard'!$C$11="Yes",'Indexed Growth'!H28,NA())</x:f>
        <x:v>#N/A</x:v>
      </x:c>
      <x:c r="H59" s="91" t="e">
        <x:f>IF('Dashboard'!$C$12="Yes",'Indexed Growth'!I28,NA())</x:f>
        <x:v>#N/A</x:v>
      </x:c>
      <x:c r="I59" s="91" t="e">
        <x:f>IF('Dashboard'!$C$13="Yes",'Indexed Growth'!J28,NA())</x:f>
        <x:v>#N/A</x:v>
      </x:c>
      <x:c r="J59" s="91" t="e">
        <x:f>IF('Dashboard'!$C$14="Yes",'Indexed Growth'!K28,NA())</x:f>
        <x:v>#N/A</x:v>
      </x:c>
      <x:c r="K59" s="91" t="e">
        <x:f>IF('Dashboard'!$C$15="Yes",'Indexed Growth'!L28,NA())</x:f>
        <x:v>#N/A</x:v>
      </x:c>
      <x:c r="L59" s="91" t="e">
        <x:f>IF('Dashboard'!$C$16="Yes",'Indexed Growth'!M28,NA())</x:f>
        <x:v>#N/A</x:v>
      </x:c>
      <x:c r="M59" s="91" t="n">
        <x:f>IF('Dashboard'!$C$17="Yes",'Indexed Growth'!N28,NA())</x:f>
        <x:v>199.3398736987671</x:v>
      </x:c>
      <x:c r="N59" s="91" t="e">
        <x:f>IF('Dashboard'!$C$18="Yes",'Indexed Growth'!O28,NA())</x:f>
        <x:v>#N/A</x:v>
      </x:c>
      <x:c r="O59" s="91" t="e">
        <x:f>IF('Dashboard'!$C$19="Yes",'Indexed Growth'!P28,NA())</x:f>
        <x:v>#N/A</x:v>
      </x:c>
      <x:c r="P59" s="91" t="e">
        <x:f>IF('Dashboard'!$C$20="Yes",'Indexed Growth'!Q28,NA())</x:f>
        <x:v>#N/A</x:v>
      </x:c>
      <x:c r="Q59" s="91" t="e">
        <x:f>IF('Dashboard'!$C$21="Yes",'Indexed Growth'!R28,NA())</x:f>
        <x:v>#N/A</x:v>
      </x:c>
    </x:row>
    <x:row r="60">
      <x:c r="A60" s="45" t="n">
        <x:f>'Indexed Growth'!A29</x:f>
        <x:v>2024</x:v>
      </x:c>
      <x:c r="B60" s="91" t="e">
        <x:f>IF('Dashboard'!$C$6="Yes",'Indexed Growth'!C29,NA())</x:f>
        <x:v>#N/A</x:v>
      </x:c>
      <x:c r="C60" s="91" t="e">
        <x:f>IF('Dashboard'!$C$7="Yes",'Indexed Growth'!D29,NA())</x:f>
        <x:v>#N/A</x:v>
      </x:c>
      <x:c r="D60" s="91" t="e">
        <x:f>IF('Dashboard'!$C$8="Yes",'Indexed Growth'!E29,NA())</x:f>
        <x:v>#N/A</x:v>
      </x:c>
      <x:c r="E60" s="91" t="n">
        <x:f>IF('Dashboard'!$C$9="Yes",'Indexed Growth'!F29,NA())</x:f>
        <x:v>161.3921870467039</x:v>
      </x:c>
      <x:c r="F60" s="91" t="e">
        <x:f>IF('Dashboard'!$C$10="Yes",'Indexed Growth'!G29,NA())</x:f>
        <x:v>#N/A</x:v>
      </x:c>
      <x:c r="G60" s="91" t="e">
        <x:f>IF('Dashboard'!$C$11="Yes",'Indexed Growth'!H29,NA())</x:f>
        <x:v>#N/A</x:v>
      </x:c>
      <x:c r="H60" s="91" t="e">
        <x:f>IF('Dashboard'!$C$12="Yes",'Indexed Growth'!I29,NA())</x:f>
        <x:v>#N/A</x:v>
      </x:c>
      <x:c r="I60" s="91" t="e">
        <x:f>IF('Dashboard'!$C$13="Yes",'Indexed Growth'!J29,NA())</x:f>
        <x:v>#N/A</x:v>
      </x:c>
      <x:c r="J60" s="91" t="e">
        <x:f>IF('Dashboard'!$C$14="Yes",'Indexed Growth'!K29,NA())</x:f>
        <x:v>#N/A</x:v>
      </x:c>
      <x:c r="K60" s="91" t="e">
        <x:f>IF('Dashboard'!$C$15="Yes",'Indexed Growth'!L29,NA())</x:f>
        <x:v>#N/A</x:v>
      </x:c>
      <x:c r="L60" s="91" t="e">
        <x:f>IF('Dashboard'!$C$16="Yes",'Indexed Growth'!M29,NA())</x:f>
        <x:v>#N/A</x:v>
      </x:c>
      <x:c r="M60" s="91" t="n">
        <x:f>IF('Dashboard'!$C$17="Yes",'Indexed Growth'!N29,NA())</x:f>
        <x:v>210.62878388743223</x:v>
      </x:c>
      <x:c r="N60" s="91" t="e">
        <x:f>IF('Dashboard'!$C$18="Yes",'Indexed Growth'!O29,NA())</x:f>
        <x:v>#N/A</x:v>
      </x:c>
      <x:c r="O60" s="91" t="e">
        <x:f>IF('Dashboard'!$C$19="Yes",'Indexed Growth'!P29,NA())</x:f>
        <x:v>#N/A</x:v>
      </x:c>
      <x:c r="P60" s="91" t="e">
        <x:f>IF('Dashboard'!$C$20="Yes",'Indexed Growth'!Q29,NA())</x:f>
        <x:v>#N/A</x:v>
      </x:c>
      <x:c r="Q60" s="91" t="e">
        <x:f>IF('Dashboard'!$C$21="Yes",'Indexed Growth'!R29,NA())</x:f>
        <x:v>#N/A</x:v>
      </x:c>
    </x:row>
    <x:row r="61">
      <x:c r="A61" s="45" t="n">
        <x:f>'Indexed Growth'!A30</x:f>
        <x:v>2025</x:v>
      </x:c>
      <x:c r="B61" s="91" t="e">
        <x:f>IF('Dashboard'!$C$6="Yes",'Indexed Growth'!C30,NA())</x:f>
        <x:v>#N/A</x:v>
      </x:c>
      <x:c r="C61" s="91" t="e">
        <x:f>IF('Dashboard'!$C$7="Yes",'Indexed Growth'!D30,NA())</x:f>
        <x:v>#N/A</x:v>
      </x:c>
      <x:c r="D61" s="91" t="e">
        <x:f>IF('Dashboard'!$C$8="Yes",'Indexed Growth'!E30,NA())</x:f>
        <x:v>#N/A</x:v>
      </x:c>
      <x:c r="E61" s="91" t="n">
        <x:f>IF('Dashboard'!$C$9="Yes",'Indexed Growth'!F30,NA())</x:f>
        <x:v>164.47111391488173</x:v>
      </x:c>
      <x:c r="F61" s="91" t="e">
        <x:f>IF('Dashboard'!$C$10="Yes",'Indexed Growth'!G30,NA())</x:f>
        <x:v>#N/A</x:v>
      </x:c>
      <x:c r="G61" s="91" t="e">
        <x:f>IF('Dashboard'!$C$11="Yes",'Indexed Growth'!H30,NA())</x:f>
        <x:v>#N/A</x:v>
      </x:c>
      <x:c r="H61" s="91" t="e">
        <x:f>IF('Dashboard'!$C$12="Yes",'Indexed Growth'!I30,NA())</x:f>
        <x:v>#N/A</x:v>
      </x:c>
      <x:c r="I61" s="91" t="e">
        <x:f>IF('Dashboard'!$C$13="Yes",'Indexed Growth'!J30,NA())</x:f>
        <x:v>#N/A</x:v>
      </x:c>
      <x:c r="J61" s="91" t="e">
        <x:f>IF('Dashboard'!$C$14="Yes",'Indexed Growth'!K30,NA())</x:f>
        <x:v>#N/A</x:v>
      </x:c>
      <x:c r="K61" s="91" t="e">
        <x:f>IF('Dashboard'!$C$15="Yes",'Indexed Growth'!L30,NA())</x:f>
        <x:v>#N/A</x:v>
      </x:c>
      <x:c r="L61" s="91" t="e">
        <x:f>IF('Dashboard'!$C$16="Yes",'Indexed Growth'!M30,NA())</x:f>
        <x:v>#N/A</x:v>
      </x:c>
      <x:c r="M61" s="91" t="n">
        <x:f>IF('Dashboard'!$C$17="Yes",'Indexed Growth'!N30,NA())</x:f>
        <x:v>219.30228971445072</x:v>
      </x:c>
      <x:c r="N61" s="91" t="e">
        <x:f>IF('Dashboard'!$C$18="Yes",'Indexed Growth'!O30,NA())</x:f>
        <x:v>#N/A</x:v>
      </x:c>
      <x:c r="O61" s="91" t="e">
        <x:f>IF('Dashboard'!$C$19="Yes",'Indexed Growth'!P30,NA())</x:f>
        <x:v>#N/A</x:v>
      </x:c>
      <x:c r="P61" s="91" t="e">
        <x:f>IF('Dashboard'!$C$20="Yes",'Indexed Growth'!Q30,NA())</x:f>
        <x:v>#N/A</x:v>
      </x:c>
      <x:c r="Q61" s="91" t="e">
        <x:f>IF('Dashboard'!$C$21="Yes",'Indexed Growth'!R30,NA())</x:f>
        <x:v>#N/A</x:v>
      </x:c>
    </x:row>
    <x:row r="62">
      <x:c r="A62" s="45" t="n">
        <x:f>'Indexed Growth'!A31</x:f>
        <x:v>2026</x:v>
      </x:c>
      <x:c r="B62" s="91" t="e">
        <x:f>IF('Dashboard'!$C$6="Yes",'Indexed Growth'!C31,NA())</x:f>
        <x:v>#N/A</x:v>
      </x:c>
      <x:c r="C62" s="91" t="e">
        <x:f>IF('Dashboard'!$C$7="Yes",'Indexed Growth'!D31,NA())</x:f>
        <x:v>#N/A</x:v>
      </x:c>
      <x:c r="D62" s="91" t="e">
        <x:f>IF('Dashboard'!$C$8="Yes",'Indexed Growth'!E31,NA())</x:f>
        <x:v>#N/A</x:v>
      </x:c>
      <x:c r="E62" s="91" t="n">
        <x:f>IF('Dashboard'!$C$9="Yes",'Indexed Growth'!F31,NA())</x:f>
        <x:v>166.1172912096821</x:v>
      </x:c>
      <x:c r="F62" s="91" t="e">
        <x:f>IF('Dashboard'!$C$10="Yes",'Indexed Growth'!G31,NA())</x:f>
        <x:v>#N/A</x:v>
      </x:c>
      <x:c r="G62" s="91" t="e">
        <x:f>IF('Dashboard'!$C$11="Yes",'Indexed Growth'!H31,NA())</x:f>
        <x:v>#N/A</x:v>
      </x:c>
      <x:c r="H62" s="91" t="e">
        <x:f>IF('Dashboard'!$C$12="Yes",'Indexed Growth'!I31,NA())</x:f>
        <x:v>#N/A</x:v>
      </x:c>
      <x:c r="I62" s="91" t="e">
        <x:f>IF('Dashboard'!$C$13="Yes",'Indexed Growth'!J31,NA())</x:f>
        <x:v>#N/A</x:v>
      </x:c>
      <x:c r="J62" s="91" t="e">
        <x:f>IF('Dashboard'!$C$14="Yes",'Indexed Growth'!K31,NA())</x:f>
        <x:v>#N/A</x:v>
      </x:c>
      <x:c r="K62" s="91" t="e">
        <x:f>IF('Dashboard'!$C$15="Yes",'Indexed Growth'!L31,NA())</x:f>
        <x:v>#N/A</x:v>
      </x:c>
      <x:c r="L62" s="91" t="e">
        <x:f>IF('Dashboard'!$C$16="Yes",'Indexed Growth'!M31,NA())</x:f>
        <x:v>#N/A</x:v>
      </x:c>
      <x:c r="M62" s="91" t="n">
        <x:f>IF('Dashboard'!$C$17="Yes",'Indexed Growth'!N31,NA())</x:f>
        <x:v>225.76112484900673</x:v>
      </x:c>
      <x:c r="N62" s="91" t="e">
        <x:f>IF('Dashboard'!$C$18="Yes",'Indexed Growth'!O31,NA())</x:f>
        <x:v>#N/A</x:v>
      </x:c>
      <x:c r="O62" s="91" t="e">
        <x:f>IF('Dashboard'!$C$19="Yes",'Indexed Growth'!P31,NA())</x:f>
        <x:v>#N/A</x:v>
      </x:c>
      <x:c r="P62" s="91" t="e">
        <x:f>IF('Dashboard'!$C$20="Yes",'Indexed Growth'!Q31,NA())</x:f>
        <x:v>#N/A</x:v>
      </x:c>
      <x:c r="Q62" s="91" t="e">
        <x:f>IF('Dashboard'!$C$21="Yes",'Indexed Growth'!R31,NA())</x:f>
        <x:v>#N/A</x:v>
      </x:c>
    </x:row>
    <x:row r="63">
      <x:c r="A63" s="45" t="str">
        <x:f>'Indexed Growth'!A32</x:f>
        <x:v>2027F</x:v>
      </x:c>
      <x:c r="B63" s="91" t="e">
        <x:f>IF('Dashboard'!$C$6="Yes",'Indexed Growth'!C32,NA())</x:f>
        <x:v>#N/A</x:v>
      </x:c>
      <x:c r="C63" s="91" t="e">
        <x:f>IF('Dashboard'!$C$7="Yes",'Indexed Growth'!D32,NA())</x:f>
        <x:v>#N/A</x:v>
      </x:c>
      <x:c r="D63" s="91" t="e">
        <x:f>IF('Dashboard'!$C$8="Yes",'Indexed Growth'!E32,NA())</x:f>
        <x:v>#N/A</x:v>
      </x:c>
      <x:c r="E63" s="91" t="n">
        <x:f>IF('Dashboard'!$C$9="Yes",'Indexed Growth'!F32,NA())</x:f>
        <x:v>166.1172912096821</x:v>
      </x:c>
      <x:c r="F63" s="91" t="e">
        <x:f>IF('Dashboard'!$C$10="Yes",'Indexed Growth'!G32,NA())</x:f>
        <x:v>#N/A</x:v>
      </x:c>
      <x:c r="G63" s="91" t="e">
        <x:f>IF('Dashboard'!$C$11="Yes",'Indexed Growth'!H32,NA())</x:f>
        <x:v>#N/A</x:v>
      </x:c>
      <x:c r="H63" s="91" t="e">
        <x:f>IF('Dashboard'!$C$12="Yes",'Indexed Growth'!I32,NA())</x:f>
        <x:v>#N/A</x:v>
      </x:c>
      <x:c r="I63" s="91" t="e">
        <x:f>IF('Dashboard'!$C$13="Yes",'Indexed Growth'!J32,NA())</x:f>
        <x:v>#N/A</x:v>
      </x:c>
      <x:c r="J63" s="91" t="e">
        <x:f>IF('Dashboard'!$C$14="Yes",'Indexed Growth'!K32,NA())</x:f>
        <x:v>#N/A</x:v>
      </x:c>
      <x:c r="K63" s="91" t="e">
        <x:f>IF('Dashboard'!$C$15="Yes",'Indexed Growth'!L32,NA())</x:f>
        <x:v>#N/A</x:v>
      </x:c>
      <x:c r="L63" s="91" t="e">
        <x:f>IF('Dashboard'!$C$16="Yes",'Indexed Growth'!M32,NA())</x:f>
        <x:v>#N/A</x:v>
      </x:c>
      <x:c r="M63" s="91" t="n">
        <x:f>IF('Dashboard'!$C$17="Yes",'Indexed Growth'!N32,NA())</x:f>
        <x:v>235.1310264019468</x:v>
      </x:c>
      <x:c r="N63" s="91" t="e">
        <x:f>IF('Dashboard'!$C$18="Yes",'Indexed Growth'!O32,NA())</x:f>
        <x:v>#N/A</x:v>
      </x:c>
      <x:c r="O63" s="91" t="e">
        <x:f>IF('Dashboard'!$C$19="Yes",'Indexed Growth'!P32,NA())</x:f>
        <x:v>#N/A</x:v>
      </x:c>
      <x:c r="P63" s="91" t="e">
        <x:f>IF('Dashboard'!$C$20="Yes",'Indexed Growth'!Q32,NA())</x:f>
        <x:v>#N/A</x:v>
      </x:c>
      <x:c r="Q63" s="91" t="e">
        <x:f>IF('Dashboard'!$C$21="Yes",'Indexed Growth'!R32,NA())</x:f>
        <x:v>#N/A</x:v>
      </x:c>
    </x:row>
    <x:row r="67" ht="32" customHeight="1">
      <x:c r="A67" s="37" t="str">
        <x:v>Year</x:v>
      </x:c>
      <x:c r="B67" s="37" t="str">
        <x:v>GS-7 step 1</x:v>
      </x:c>
      <x:c r="C67" s="37" t="str">
        <x:v>GS-9 step 1</x:v>
      </x:c>
      <x:c r="D67" s="37" t="str">
        <x:v>GS-11 step 1</x:v>
      </x:c>
      <x:c r="E67" s="37" t="str">
        <x:v>GS-12 step 1</x:v>
      </x:c>
      <x:c r="F67" s="37" t="str">
        <x:v>GS-13 step 1</x:v>
      </x:c>
      <x:c r="G67" s="37" t="str">
        <x:v>GS-13 step 10</x:v>
      </x:c>
      <x:c r="H67" s="37" t="str">
        <x:v>GS-14 step 1</x:v>
      </x:c>
      <x:c r="I67" s="37" t="str">
        <x:v>GS-15 step 1</x:v>
      </x:c>
      <x:c r="J67" s="37" t="str">
        <x:v>GS-15 step 10</x:v>
      </x:c>
      <x:c r="K67" s="37" t="str">
        <x:v>O-1</x:v>
      </x:c>
      <x:c r="L67" s="37" t="str">
        <x:v>O-2</x:v>
      </x:c>
      <x:c r="M67" s="37" t="str">
        <x:v>O-3</x:v>
      </x:c>
      <x:c r="N67" s="37" t="str">
        <x:v>O-4</x:v>
      </x:c>
      <x:c r="O67" s="37" t="str">
        <x:v>O-5</x:v>
      </x:c>
      <x:c r="P67" s="37" t="str">
        <x:v>O-6</x:v>
      </x:c>
      <x:c r="Q67" s="37" t="str">
        <x:v>Average private wage</x:v>
      </x:c>
      <x:c r="R67" t="str">
        <x:v>0% Reference</x:v>
      </x:c>
    </x:row>
    <x:row r="68">
      <x:c r="A68" s="44" t="n">
        <x:f>'Parity Gaps'!A6</x:f>
        <x:v>2001</x:v>
      </x:c>
      <x:c r="B68" s="93" t="e">
        <x:f>IF('Dashboard'!$C$6="Yes",'Parity Gaps'!C6,NA())</x:f>
        <x:v>#N/A</x:v>
      </x:c>
      <x:c r="C68" s="93" t="e">
        <x:f>IF('Dashboard'!$C$7="Yes",'Parity Gaps'!D6,NA())</x:f>
        <x:v>#N/A</x:v>
      </x:c>
      <x:c r="D68" s="93" t="e">
        <x:f>IF('Dashboard'!$C$8="Yes",'Parity Gaps'!E6,NA())</x:f>
        <x:v>#N/A</x:v>
      </x:c>
      <x:c r="E68" s="93" t="n">
        <x:f>IF('Dashboard'!$C$9="Yes",'Parity Gaps'!F6,NA())</x:f>
        <x:v>0</x:v>
      </x:c>
      <x:c r="F68" s="93" t="e">
        <x:f>IF('Dashboard'!$C$10="Yes",'Parity Gaps'!G6,NA())</x:f>
        <x:v>#N/A</x:v>
      </x:c>
      <x:c r="G68" s="93" t="e">
        <x:f>IF('Dashboard'!$C$11="Yes",'Parity Gaps'!H6,NA())</x:f>
        <x:v>#N/A</x:v>
      </x:c>
      <x:c r="H68" s="93" t="e">
        <x:f>IF('Dashboard'!$C$12="Yes",'Parity Gaps'!I6,NA())</x:f>
        <x:v>#N/A</x:v>
      </x:c>
      <x:c r="I68" s="93" t="e">
        <x:f>IF('Dashboard'!$C$13="Yes",'Parity Gaps'!J6,NA())</x:f>
        <x:v>#N/A</x:v>
      </x:c>
      <x:c r="J68" s="93" t="e">
        <x:f>IF('Dashboard'!$C$14="Yes",'Parity Gaps'!K6,NA())</x:f>
        <x:v>#N/A</x:v>
      </x:c>
      <x:c r="K68" s="93" t="e">
        <x:f>IF('Dashboard'!$C$15="Yes",'Parity Gaps'!L6,NA())</x:f>
        <x:v>#N/A</x:v>
      </x:c>
      <x:c r="L68" s="93" t="e">
        <x:f>IF('Dashboard'!$C$16="Yes",'Parity Gaps'!M6,NA())</x:f>
        <x:v>#N/A</x:v>
      </x:c>
      <x:c r="M68" s="93" t="n">
        <x:f>IF('Dashboard'!$C$17="Yes",'Parity Gaps'!N6,NA())</x:f>
        <x:v>0</x:v>
      </x:c>
      <x:c r="N68" s="93" t="e">
        <x:f>IF('Dashboard'!$C$18="Yes",'Parity Gaps'!O6,NA())</x:f>
        <x:v>#N/A</x:v>
      </x:c>
      <x:c r="O68" s="93" t="e">
        <x:f>IF('Dashboard'!$C$19="Yes",'Parity Gaps'!P6,NA())</x:f>
        <x:v>#N/A</x:v>
      </x:c>
      <x:c r="P68" s="93" t="e">
        <x:f>IF('Dashboard'!$C$20="Yes",'Parity Gaps'!Q6,NA())</x:f>
        <x:v>#N/A</x:v>
      </x:c>
      <x:c r="Q68" s="93" t="e">
        <x:f>IF('Dashboard'!$C$21="Yes",'Parity Gaps'!R6,NA())</x:f>
        <x:v>#N/A</x:v>
      </x:c>
      <x:c r="R68" s="203" t="n">
        <x:f>0</x:f>
        <x:v>0</x:v>
      </x:c>
    </x:row>
    <x:row r="69">
      <x:c r="A69" s="45" t="n">
        <x:f>'Parity Gaps'!A7</x:f>
        <x:v>2002</x:v>
      </x:c>
      <x:c r="B69" s="94" t="e">
        <x:f>IF('Dashboard'!$C$6="Yes",'Parity Gaps'!C7,NA())</x:f>
        <x:v>#N/A</x:v>
      </x:c>
      <x:c r="C69" s="94" t="e">
        <x:f>IF('Dashboard'!$C$7="Yes",'Parity Gaps'!D7,NA())</x:f>
        <x:v>#N/A</x:v>
      </x:c>
      <x:c r="D69" s="94" t="e">
        <x:f>IF('Dashboard'!$C$8="Yes",'Parity Gaps'!E7,NA())</x:f>
        <x:v>#N/A</x:v>
      </x:c>
      <x:c r="E69" s="94" t="n">
        <x:f>IF('Dashboard'!$C$9="Yes",'Parity Gaps'!F7,NA())</x:f>
        <x:v>0</x:v>
      </x:c>
      <x:c r="F69" s="94" t="e">
        <x:f>IF('Dashboard'!$C$10="Yes",'Parity Gaps'!G7,NA())</x:f>
        <x:v>#N/A</x:v>
      </x:c>
      <x:c r="G69" s="94" t="e">
        <x:f>IF('Dashboard'!$C$11="Yes",'Parity Gaps'!H7,NA())</x:f>
        <x:v>#N/A</x:v>
      </x:c>
      <x:c r="H69" s="94" t="e">
        <x:f>IF('Dashboard'!$C$12="Yes",'Parity Gaps'!I7,NA())</x:f>
        <x:v>#N/A</x:v>
      </x:c>
      <x:c r="I69" s="94" t="e">
        <x:f>IF('Dashboard'!$C$13="Yes",'Parity Gaps'!J7,NA())</x:f>
        <x:v>#N/A</x:v>
      </x:c>
      <x:c r="J69" s="94" t="e">
        <x:f>IF('Dashboard'!$C$14="Yes",'Parity Gaps'!K7,NA())</x:f>
        <x:v>#N/A</x:v>
      </x:c>
      <x:c r="K69" s="94" t="e">
        <x:f>IF('Dashboard'!$C$15="Yes",'Parity Gaps'!L7,NA())</x:f>
        <x:v>#N/A</x:v>
      </x:c>
      <x:c r="L69" s="94" t="e">
        <x:f>IF('Dashboard'!$C$16="Yes",'Parity Gaps'!M7,NA())</x:f>
        <x:v>#N/A</x:v>
      </x:c>
      <x:c r="M69" s="94" t="n">
        <x:f>IF('Dashboard'!$C$17="Yes",'Parity Gaps'!N7,NA())</x:f>
        <x:v>0.003284262300174312</x:v>
      </x:c>
      <x:c r="N69" s="94" t="e">
        <x:f>IF('Dashboard'!$C$18="Yes",'Parity Gaps'!O7,NA())</x:f>
        <x:v>#N/A</x:v>
      </x:c>
      <x:c r="O69" s="94" t="e">
        <x:f>IF('Dashboard'!$C$19="Yes",'Parity Gaps'!P7,NA())</x:f>
        <x:v>#N/A</x:v>
      </x:c>
      <x:c r="P69" s="94" t="e">
        <x:f>IF('Dashboard'!$C$20="Yes",'Parity Gaps'!Q7,NA())</x:f>
        <x:v>#N/A</x:v>
      </x:c>
      <x:c r="Q69" s="94" t="e">
        <x:f>IF('Dashboard'!$C$21="Yes",'Parity Gaps'!R7,NA())</x:f>
        <x:v>#N/A</x:v>
      </x:c>
      <x:c r="R69" s="203" t="n">
        <x:f>0</x:f>
        <x:v>0</x:v>
      </x:c>
    </x:row>
    <x:row r="70">
      <x:c r="A70" s="45" t="n">
        <x:f>'Parity Gaps'!A8</x:f>
        <x:v>2003</x:v>
      </x:c>
      <x:c r="B70" s="94" t="e">
        <x:f>IF('Dashboard'!$C$6="Yes",'Parity Gaps'!C8,NA())</x:f>
        <x:v>#N/A</x:v>
      </x:c>
      <x:c r="C70" s="94" t="e">
        <x:f>IF('Dashboard'!$C$7="Yes",'Parity Gaps'!D8,NA())</x:f>
        <x:v>#N/A</x:v>
      </x:c>
      <x:c r="D70" s="94" t="e">
        <x:f>IF('Dashboard'!$C$8="Yes",'Parity Gaps'!E8,NA())</x:f>
        <x:v>#N/A</x:v>
      </x:c>
      <x:c r="E70" s="94" t="n">
        <x:f>IF('Dashboard'!$C$9="Yes",'Parity Gaps'!F8,NA())</x:f>
        <x:v>0</x:v>
      </x:c>
      <x:c r="F70" s="94" t="e">
        <x:f>IF('Dashboard'!$C$10="Yes",'Parity Gaps'!G8,NA())</x:f>
        <x:v>#N/A</x:v>
      </x:c>
      <x:c r="G70" s="94" t="e">
        <x:f>IF('Dashboard'!$C$11="Yes",'Parity Gaps'!H8,NA())</x:f>
        <x:v>#N/A</x:v>
      </x:c>
      <x:c r="H70" s="94" t="e">
        <x:f>IF('Dashboard'!$C$12="Yes",'Parity Gaps'!I8,NA())</x:f>
        <x:v>#N/A</x:v>
      </x:c>
      <x:c r="I70" s="94" t="e">
        <x:f>IF('Dashboard'!$C$13="Yes",'Parity Gaps'!J8,NA())</x:f>
        <x:v>#N/A</x:v>
      </x:c>
      <x:c r="J70" s="94" t="e">
        <x:f>IF('Dashboard'!$C$14="Yes",'Parity Gaps'!K8,NA())</x:f>
        <x:v>#N/A</x:v>
      </x:c>
      <x:c r="K70" s="94" t="e">
        <x:f>IF('Dashboard'!$C$15="Yes",'Parity Gaps'!L8,NA())</x:f>
        <x:v>#N/A</x:v>
      </x:c>
      <x:c r="L70" s="94" t="e">
        <x:f>IF('Dashboard'!$C$16="Yes",'Parity Gaps'!M8,NA())</x:f>
        <x:v>#N/A</x:v>
      </x:c>
      <x:c r="M70" s="94" t="n">
        <x:f>IF('Dashboard'!$C$17="Yes",'Parity Gaps'!N8,NA())</x:f>
        <x:v>0.0027197818123521067</x:v>
      </x:c>
      <x:c r="N70" s="94" t="e">
        <x:f>IF('Dashboard'!$C$18="Yes",'Parity Gaps'!O8,NA())</x:f>
        <x:v>#N/A</x:v>
      </x:c>
      <x:c r="O70" s="94" t="e">
        <x:f>IF('Dashboard'!$C$19="Yes",'Parity Gaps'!P8,NA())</x:f>
        <x:v>#N/A</x:v>
      </x:c>
      <x:c r="P70" s="94" t="e">
        <x:f>IF('Dashboard'!$C$20="Yes",'Parity Gaps'!Q8,NA())</x:f>
        <x:v>#N/A</x:v>
      </x:c>
      <x:c r="Q70" s="94" t="e">
        <x:f>IF('Dashboard'!$C$21="Yes",'Parity Gaps'!R8,NA())</x:f>
        <x:v>#N/A</x:v>
      </x:c>
      <x:c r="R70" s="203" t="n">
        <x:f>0</x:f>
        <x:v>0</x:v>
      </x:c>
    </x:row>
    <x:row r="71">
      <x:c r="A71" s="45" t="n">
        <x:f>'Parity Gaps'!A9</x:f>
        <x:v>2004</x:v>
      </x:c>
      <x:c r="B71" s="94" t="e">
        <x:f>IF('Dashboard'!$C$6="Yes",'Parity Gaps'!C9,NA())</x:f>
        <x:v>#N/A</x:v>
      </x:c>
      <x:c r="C71" s="94" t="e">
        <x:f>IF('Dashboard'!$C$7="Yes",'Parity Gaps'!D9,NA())</x:f>
        <x:v>#N/A</x:v>
      </x:c>
      <x:c r="D71" s="94" t="e">
        <x:f>IF('Dashboard'!$C$8="Yes",'Parity Gaps'!E9,NA())</x:f>
        <x:v>#N/A</x:v>
      </x:c>
      <x:c r="E71" s="94" t="n">
        <x:f>IF('Dashboard'!$C$9="Yes",'Parity Gaps'!F9,NA())</x:f>
        <x:v>0</x:v>
      </x:c>
      <x:c r="F71" s="94" t="e">
        <x:f>IF('Dashboard'!$C$10="Yes",'Parity Gaps'!G9,NA())</x:f>
        <x:v>#N/A</x:v>
      </x:c>
      <x:c r="G71" s="94" t="e">
        <x:f>IF('Dashboard'!$C$11="Yes",'Parity Gaps'!H9,NA())</x:f>
        <x:v>#N/A</x:v>
      </x:c>
      <x:c r="H71" s="94" t="e">
        <x:f>IF('Dashboard'!$C$12="Yes",'Parity Gaps'!I9,NA())</x:f>
        <x:v>#N/A</x:v>
      </x:c>
      <x:c r="I71" s="94" t="e">
        <x:f>IF('Dashboard'!$C$13="Yes",'Parity Gaps'!J9,NA())</x:f>
        <x:v>#N/A</x:v>
      </x:c>
      <x:c r="J71" s="94" t="e">
        <x:f>IF('Dashboard'!$C$14="Yes",'Parity Gaps'!K9,NA())</x:f>
        <x:v>#N/A</x:v>
      </x:c>
      <x:c r="K71" s="94" t="e">
        <x:f>IF('Dashboard'!$C$15="Yes",'Parity Gaps'!L9,NA())</x:f>
        <x:v>#N/A</x:v>
      </x:c>
      <x:c r="L71" s="94" t="e">
        <x:f>IF('Dashboard'!$C$16="Yes",'Parity Gaps'!M9,NA())</x:f>
        <x:v>#N/A</x:v>
      </x:c>
      <x:c r="M71" s="94" t="n">
        <x:f>IF('Dashboard'!$C$17="Yes",'Parity Gaps'!N9,NA())</x:f>
        <x:v>0.0027608421545197714</x:v>
      </x:c>
      <x:c r="N71" s="94" t="e">
        <x:f>IF('Dashboard'!$C$18="Yes",'Parity Gaps'!O9,NA())</x:f>
        <x:v>#N/A</x:v>
      </x:c>
      <x:c r="O71" s="94" t="e">
        <x:f>IF('Dashboard'!$C$19="Yes",'Parity Gaps'!P9,NA())</x:f>
        <x:v>#N/A</x:v>
      </x:c>
      <x:c r="P71" s="94" t="e">
        <x:f>IF('Dashboard'!$C$20="Yes",'Parity Gaps'!Q9,NA())</x:f>
        <x:v>#N/A</x:v>
      </x:c>
      <x:c r="Q71" s="94" t="e">
        <x:f>IF('Dashboard'!$C$21="Yes",'Parity Gaps'!R9,NA())</x:f>
        <x:v>#N/A</x:v>
      </x:c>
      <x:c r="R71" s="203" t="n">
        <x:f>0</x:f>
        <x:v>0</x:v>
      </x:c>
    </x:row>
    <x:row r="72">
      <x:c r="A72" s="45" t="n">
        <x:f>'Parity Gaps'!A10</x:f>
        <x:v>2005</x:v>
      </x:c>
      <x:c r="B72" s="94" t="e">
        <x:f>IF('Dashboard'!$C$6="Yes",'Parity Gaps'!C10,NA())</x:f>
        <x:v>#N/A</x:v>
      </x:c>
      <x:c r="C72" s="94" t="e">
        <x:f>IF('Dashboard'!$C$7="Yes",'Parity Gaps'!D10,NA())</x:f>
        <x:v>#N/A</x:v>
      </x:c>
      <x:c r="D72" s="94" t="e">
        <x:f>IF('Dashboard'!$C$8="Yes",'Parity Gaps'!E10,NA())</x:f>
        <x:v>#N/A</x:v>
      </x:c>
      <x:c r="E72" s="94" t="n">
        <x:f>IF('Dashboard'!$C$9="Yes",'Parity Gaps'!F10,NA())</x:f>
        <x:v>0</x:v>
      </x:c>
      <x:c r="F72" s="94" t="e">
        <x:f>IF('Dashboard'!$C$10="Yes",'Parity Gaps'!G10,NA())</x:f>
        <x:v>#N/A</x:v>
      </x:c>
      <x:c r="G72" s="94" t="e">
        <x:f>IF('Dashboard'!$C$11="Yes",'Parity Gaps'!H10,NA())</x:f>
        <x:v>#N/A</x:v>
      </x:c>
      <x:c r="H72" s="94" t="e">
        <x:f>IF('Dashboard'!$C$12="Yes",'Parity Gaps'!I10,NA())</x:f>
        <x:v>#N/A</x:v>
      </x:c>
      <x:c r="I72" s="94" t="e">
        <x:f>IF('Dashboard'!$C$13="Yes",'Parity Gaps'!J10,NA())</x:f>
        <x:v>#N/A</x:v>
      </x:c>
      <x:c r="J72" s="94" t="e">
        <x:f>IF('Dashboard'!$C$14="Yes",'Parity Gaps'!K10,NA())</x:f>
        <x:v>#N/A</x:v>
      </x:c>
      <x:c r="K72" s="94" t="e">
        <x:f>IF('Dashboard'!$C$15="Yes",'Parity Gaps'!L10,NA())</x:f>
        <x:v>#N/A</x:v>
      </x:c>
      <x:c r="L72" s="94" t="e">
        <x:f>IF('Dashboard'!$C$16="Yes",'Parity Gaps'!M10,NA())</x:f>
        <x:v>#N/A</x:v>
      </x:c>
      <x:c r="M72" s="94" t="n">
        <x:f>IF('Dashboard'!$C$17="Yes",'Parity Gaps'!N10,NA())</x:f>
        <x:v>0.024783246537107617</x:v>
      </x:c>
      <x:c r="N72" s="94" t="e">
        <x:f>IF('Dashboard'!$C$18="Yes",'Parity Gaps'!O10,NA())</x:f>
        <x:v>#N/A</x:v>
      </x:c>
      <x:c r="O72" s="94" t="e">
        <x:f>IF('Dashboard'!$C$19="Yes",'Parity Gaps'!P10,NA())</x:f>
        <x:v>#N/A</x:v>
      </x:c>
      <x:c r="P72" s="94" t="e">
        <x:f>IF('Dashboard'!$C$20="Yes",'Parity Gaps'!Q10,NA())</x:f>
        <x:v>#N/A</x:v>
      </x:c>
      <x:c r="Q72" s="94" t="e">
        <x:f>IF('Dashboard'!$C$21="Yes",'Parity Gaps'!R10,NA())</x:f>
        <x:v>#N/A</x:v>
      </x:c>
      <x:c r="R72" s="203" t="n">
        <x:f>0</x:f>
        <x:v>0</x:v>
      </x:c>
    </x:row>
    <x:row r="73">
      <x:c r="A73" s="45" t="n">
        <x:f>'Parity Gaps'!A11</x:f>
        <x:v>2006</x:v>
      </x:c>
      <x:c r="B73" s="94" t="e">
        <x:f>IF('Dashboard'!$C$6="Yes",'Parity Gaps'!C11,NA())</x:f>
        <x:v>#N/A</x:v>
      </x:c>
      <x:c r="C73" s="94" t="e">
        <x:f>IF('Dashboard'!$C$7="Yes",'Parity Gaps'!D11,NA())</x:f>
        <x:v>#N/A</x:v>
      </x:c>
      <x:c r="D73" s="94" t="e">
        <x:f>IF('Dashboard'!$C$8="Yes",'Parity Gaps'!E11,NA())</x:f>
        <x:v>#N/A</x:v>
      </x:c>
      <x:c r="E73" s="94" t="n">
        <x:f>IF('Dashboard'!$C$9="Yes",'Parity Gaps'!F11,NA())</x:f>
        <x:v>0</x:v>
      </x:c>
      <x:c r="F73" s="94" t="e">
        <x:f>IF('Dashboard'!$C$10="Yes",'Parity Gaps'!G11,NA())</x:f>
        <x:v>#N/A</x:v>
      </x:c>
      <x:c r="G73" s="94" t="e">
        <x:f>IF('Dashboard'!$C$11="Yes",'Parity Gaps'!H11,NA())</x:f>
        <x:v>#N/A</x:v>
      </x:c>
      <x:c r="H73" s="94" t="e">
        <x:f>IF('Dashboard'!$C$12="Yes",'Parity Gaps'!I11,NA())</x:f>
        <x:v>#N/A</x:v>
      </x:c>
      <x:c r="I73" s="94" t="e">
        <x:f>IF('Dashboard'!$C$13="Yes",'Parity Gaps'!J11,NA())</x:f>
        <x:v>#N/A</x:v>
      </x:c>
      <x:c r="J73" s="94" t="e">
        <x:f>IF('Dashboard'!$C$14="Yes",'Parity Gaps'!K11,NA())</x:f>
        <x:v>#N/A</x:v>
      </x:c>
      <x:c r="K73" s="94" t="e">
        <x:f>IF('Dashboard'!$C$15="Yes",'Parity Gaps'!L11,NA())</x:f>
        <x:v>#N/A</x:v>
      </x:c>
      <x:c r="L73" s="94" t="e">
        <x:f>IF('Dashboard'!$C$16="Yes",'Parity Gaps'!M11,NA())</x:f>
        <x:v>#N/A</x:v>
      </x:c>
      <x:c r="M73" s="94" t="n">
        <x:f>IF('Dashboard'!$C$17="Yes",'Parity Gaps'!N11,NA())</x:f>
        <x:v>0.032816647004707766</x:v>
      </x:c>
      <x:c r="N73" s="94" t="e">
        <x:f>IF('Dashboard'!$C$18="Yes",'Parity Gaps'!O11,NA())</x:f>
        <x:v>#N/A</x:v>
      </x:c>
      <x:c r="O73" s="94" t="e">
        <x:f>IF('Dashboard'!$C$19="Yes",'Parity Gaps'!P11,NA())</x:f>
        <x:v>#N/A</x:v>
      </x:c>
      <x:c r="P73" s="94" t="e">
        <x:f>IF('Dashboard'!$C$20="Yes",'Parity Gaps'!Q11,NA())</x:f>
        <x:v>#N/A</x:v>
      </x:c>
      <x:c r="Q73" s="94" t="e">
        <x:f>IF('Dashboard'!$C$21="Yes",'Parity Gaps'!R11,NA())</x:f>
        <x:v>#N/A</x:v>
      </x:c>
      <x:c r="R73" s="203" t="n">
        <x:f>0</x:f>
        <x:v>0</x:v>
      </x:c>
    </x:row>
    <x:row r="74">
      <x:c r="A74" s="45" t="n">
        <x:f>'Parity Gaps'!A12</x:f>
        <x:v>2007</x:v>
      </x:c>
      <x:c r="B74" s="94" t="e">
        <x:f>IF('Dashboard'!$C$6="Yes",'Parity Gaps'!C12,NA())</x:f>
        <x:v>#N/A</x:v>
      </x:c>
      <x:c r="C74" s="94" t="e">
        <x:f>IF('Dashboard'!$C$7="Yes",'Parity Gaps'!D12,NA())</x:f>
        <x:v>#N/A</x:v>
      </x:c>
      <x:c r="D74" s="94" t="e">
        <x:f>IF('Dashboard'!$C$8="Yes",'Parity Gaps'!E12,NA())</x:f>
        <x:v>#N/A</x:v>
      </x:c>
      <x:c r="E74" s="94" t="n">
        <x:f>IF('Dashboard'!$C$9="Yes",'Parity Gaps'!F12,NA())</x:f>
        <x:v>0</x:v>
      </x:c>
      <x:c r="F74" s="94" t="e">
        <x:f>IF('Dashboard'!$C$10="Yes",'Parity Gaps'!G12,NA())</x:f>
        <x:v>#N/A</x:v>
      </x:c>
      <x:c r="G74" s="94" t="e">
        <x:f>IF('Dashboard'!$C$11="Yes",'Parity Gaps'!H12,NA())</x:f>
        <x:v>#N/A</x:v>
      </x:c>
      <x:c r="H74" s="94" t="e">
        <x:f>IF('Dashboard'!$C$12="Yes",'Parity Gaps'!I12,NA())</x:f>
        <x:v>#N/A</x:v>
      </x:c>
      <x:c r="I74" s="94" t="e">
        <x:f>IF('Dashboard'!$C$13="Yes",'Parity Gaps'!J12,NA())</x:f>
        <x:v>#N/A</x:v>
      </x:c>
      <x:c r="J74" s="94" t="e">
        <x:f>IF('Dashboard'!$C$14="Yes",'Parity Gaps'!K12,NA())</x:f>
        <x:v>#N/A</x:v>
      </x:c>
      <x:c r="K74" s="94" t="e">
        <x:f>IF('Dashboard'!$C$15="Yes",'Parity Gaps'!L12,NA())</x:f>
        <x:v>#N/A</x:v>
      </x:c>
      <x:c r="L74" s="94" t="e">
        <x:f>IF('Dashboard'!$C$16="Yes",'Parity Gaps'!M12,NA())</x:f>
        <x:v>#N/A</x:v>
      </x:c>
      <x:c r="M74" s="94" t="n">
        <x:f>IF('Dashboard'!$C$17="Yes",'Parity Gaps'!N12,NA())</x:f>
        <x:v>0.026867507209737074</x:v>
      </x:c>
      <x:c r="N74" s="94" t="e">
        <x:f>IF('Dashboard'!$C$18="Yes",'Parity Gaps'!O12,NA())</x:f>
        <x:v>#N/A</x:v>
      </x:c>
      <x:c r="O74" s="94" t="e">
        <x:f>IF('Dashboard'!$C$19="Yes",'Parity Gaps'!P12,NA())</x:f>
        <x:v>#N/A</x:v>
      </x:c>
      <x:c r="P74" s="94" t="e">
        <x:f>IF('Dashboard'!$C$20="Yes",'Parity Gaps'!Q12,NA())</x:f>
        <x:v>#N/A</x:v>
      </x:c>
      <x:c r="Q74" s="94" t="e">
        <x:f>IF('Dashboard'!$C$21="Yes",'Parity Gaps'!R12,NA())</x:f>
        <x:v>#N/A</x:v>
      </x:c>
      <x:c r="R74" s="203" t="n">
        <x:f>0</x:f>
        <x:v>0</x:v>
      </x:c>
    </x:row>
    <x:row r="75">
      <x:c r="A75" s="45" t="n">
        <x:f>'Parity Gaps'!A13</x:f>
        <x:v>2008</x:v>
      </x:c>
      <x:c r="B75" s="94" t="e">
        <x:f>IF('Dashboard'!$C$6="Yes",'Parity Gaps'!C13,NA())</x:f>
        <x:v>#N/A</x:v>
      </x:c>
      <x:c r="C75" s="94" t="e">
        <x:f>IF('Dashboard'!$C$7="Yes",'Parity Gaps'!D13,NA())</x:f>
        <x:v>#N/A</x:v>
      </x:c>
      <x:c r="D75" s="94" t="e">
        <x:f>IF('Dashboard'!$C$8="Yes",'Parity Gaps'!E13,NA())</x:f>
        <x:v>#N/A</x:v>
      </x:c>
      <x:c r="E75" s="94" t="n">
        <x:f>IF('Dashboard'!$C$9="Yes",'Parity Gaps'!F13,NA())</x:f>
        <x:v>0</x:v>
      </x:c>
      <x:c r="F75" s="94" t="e">
        <x:f>IF('Dashboard'!$C$10="Yes",'Parity Gaps'!G13,NA())</x:f>
        <x:v>#N/A</x:v>
      </x:c>
      <x:c r="G75" s="94" t="e">
        <x:f>IF('Dashboard'!$C$11="Yes",'Parity Gaps'!H13,NA())</x:f>
        <x:v>#N/A</x:v>
      </x:c>
      <x:c r="H75" s="94" t="e">
        <x:f>IF('Dashboard'!$C$12="Yes",'Parity Gaps'!I13,NA())</x:f>
        <x:v>#N/A</x:v>
      </x:c>
      <x:c r="I75" s="94" t="e">
        <x:f>IF('Dashboard'!$C$13="Yes",'Parity Gaps'!J13,NA())</x:f>
        <x:v>#N/A</x:v>
      </x:c>
      <x:c r="J75" s="94" t="e">
        <x:f>IF('Dashboard'!$C$14="Yes",'Parity Gaps'!K13,NA())</x:f>
        <x:v>#N/A</x:v>
      </x:c>
      <x:c r="K75" s="94" t="e">
        <x:f>IF('Dashboard'!$C$15="Yes",'Parity Gaps'!L13,NA())</x:f>
        <x:v>#N/A</x:v>
      </x:c>
      <x:c r="L75" s="94" t="e">
        <x:f>IF('Dashboard'!$C$16="Yes",'Parity Gaps'!M13,NA())</x:f>
        <x:v>#N/A</x:v>
      </x:c>
      <x:c r="M75" s="94" t="n">
        <x:f>IF('Dashboard'!$C$17="Yes",'Parity Gaps'!N13,NA())</x:f>
        <x:v>0.057236011679969945</x:v>
      </x:c>
      <x:c r="N75" s="94" t="e">
        <x:f>IF('Dashboard'!$C$18="Yes",'Parity Gaps'!O13,NA())</x:f>
        <x:v>#N/A</x:v>
      </x:c>
      <x:c r="O75" s="94" t="e">
        <x:f>IF('Dashboard'!$C$19="Yes",'Parity Gaps'!P13,NA())</x:f>
        <x:v>#N/A</x:v>
      </x:c>
      <x:c r="P75" s="94" t="e">
        <x:f>IF('Dashboard'!$C$20="Yes",'Parity Gaps'!Q13,NA())</x:f>
        <x:v>#N/A</x:v>
      </x:c>
      <x:c r="Q75" s="94" t="e">
        <x:f>IF('Dashboard'!$C$21="Yes",'Parity Gaps'!R13,NA())</x:f>
        <x:v>#N/A</x:v>
      </x:c>
      <x:c r="R75" s="203" t="n">
        <x:f>0</x:f>
        <x:v>0</x:v>
      </x:c>
    </x:row>
    <x:row r="76">
      <x:c r="A76" s="45" t="n">
        <x:f>'Parity Gaps'!A14</x:f>
        <x:v>2009</x:v>
      </x:c>
      <x:c r="B76" s="94" t="e">
        <x:f>IF('Dashboard'!$C$6="Yes",'Parity Gaps'!C14,NA())</x:f>
        <x:v>#N/A</x:v>
      </x:c>
      <x:c r="C76" s="94" t="e">
        <x:f>IF('Dashboard'!$C$7="Yes",'Parity Gaps'!D14,NA())</x:f>
        <x:v>#N/A</x:v>
      </x:c>
      <x:c r="D76" s="94" t="e">
        <x:f>IF('Dashboard'!$C$8="Yes",'Parity Gaps'!E14,NA())</x:f>
        <x:v>#N/A</x:v>
      </x:c>
      <x:c r="E76" s="94" t="n">
        <x:f>IF('Dashboard'!$C$9="Yes",'Parity Gaps'!F14,NA())</x:f>
        <x:v>0</x:v>
      </x:c>
      <x:c r="F76" s="94" t="e">
        <x:f>IF('Dashboard'!$C$10="Yes",'Parity Gaps'!G14,NA())</x:f>
        <x:v>#N/A</x:v>
      </x:c>
      <x:c r="G76" s="94" t="e">
        <x:f>IF('Dashboard'!$C$11="Yes",'Parity Gaps'!H14,NA())</x:f>
        <x:v>#N/A</x:v>
      </x:c>
      <x:c r="H76" s="94" t="e">
        <x:f>IF('Dashboard'!$C$12="Yes",'Parity Gaps'!I14,NA())</x:f>
        <x:v>#N/A</x:v>
      </x:c>
      <x:c r="I76" s="94" t="e">
        <x:f>IF('Dashboard'!$C$13="Yes",'Parity Gaps'!J14,NA())</x:f>
        <x:v>#N/A</x:v>
      </x:c>
      <x:c r="J76" s="94" t="e">
        <x:f>IF('Dashboard'!$C$14="Yes",'Parity Gaps'!K14,NA())</x:f>
        <x:v>#N/A</x:v>
      </x:c>
      <x:c r="K76" s="94" t="e">
        <x:f>IF('Dashboard'!$C$15="Yes",'Parity Gaps'!L14,NA())</x:f>
        <x:v>#N/A</x:v>
      </x:c>
      <x:c r="L76" s="94" t="e">
        <x:f>IF('Dashboard'!$C$16="Yes",'Parity Gaps'!M14,NA())</x:f>
        <x:v>#N/A</x:v>
      </x:c>
      <x:c r="M76" s="94" t="n">
        <x:f>IF('Dashboard'!$C$17="Yes",'Parity Gaps'!N14,NA())</x:f>
        <x:v>0.0861205614476317</x:v>
      </x:c>
      <x:c r="N76" s="94" t="e">
        <x:f>IF('Dashboard'!$C$18="Yes",'Parity Gaps'!O14,NA())</x:f>
        <x:v>#N/A</x:v>
      </x:c>
      <x:c r="O76" s="94" t="e">
        <x:f>IF('Dashboard'!$C$19="Yes",'Parity Gaps'!P14,NA())</x:f>
        <x:v>#N/A</x:v>
      </x:c>
      <x:c r="P76" s="94" t="e">
        <x:f>IF('Dashboard'!$C$20="Yes",'Parity Gaps'!Q14,NA())</x:f>
        <x:v>#N/A</x:v>
      </x:c>
      <x:c r="Q76" s="94" t="e">
        <x:f>IF('Dashboard'!$C$21="Yes",'Parity Gaps'!R14,NA())</x:f>
        <x:v>#N/A</x:v>
      </x:c>
      <x:c r="R76" s="203" t="n">
        <x:f>0</x:f>
        <x:v>0</x:v>
      </x:c>
    </x:row>
    <x:row r="77">
      <x:c r="A77" s="45" t="n">
        <x:f>'Parity Gaps'!A15</x:f>
        <x:v>2010</x:v>
      </x:c>
      <x:c r="B77" s="94" t="e">
        <x:f>IF('Dashboard'!$C$6="Yes",'Parity Gaps'!C15,NA())</x:f>
        <x:v>#N/A</x:v>
      </x:c>
      <x:c r="C77" s="94" t="e">
        <x:f>IF('Dashboard'!$C$7="Yes",'Parity Gaps'!D15,NA())</x:f>
        <x:v>#N/A</x:v>
      </x:c>
      <x:c r="D77" s="94" t="e">
        <x:f>IF('Dashboard'!$C$8="Yes",'Parity Gaps'!E15,NA())</x:f>
        <x:v>#N/A</x:v>
      </x:c>
      <x:c r="E77" s="94" t="n">
        <x:f>IF('Dashboard'!$C$9="Yes",'Parity Gaps'!F15,NA())</x:f>
        <x:v>0</x:v>
      </x:c>
      <x:c r="F77" s="94" t="e">
        <x:f>IF('Dashboard'!$C$10="Yes",'Parity Gaps'!G15,NA())</x:f>
        <x:v>#N/A</x:v>
      </x:c>
      <x:c r="G77" s="94" t="e">
        <x:f>IF('Dashboard'!$C$11="Yes",'Parity Gaps'!H15,NA())</x:f>
        <x:v>#N/A</x:v>
      </x:c>
      <x:c r="H77" s="94" t="e">
        <x:f>IF('Dashboard'!$C$12="Yes",'Parity Gaps'!I15,NA())</x:f>
        <x:v>#N/A</x:v>
      </x:c>
      <x:c r="I77" s="94" t="e">
        <x:f>IF('Dashboard'!$C$13="Yes",'Parity Gaps'!J15,NA())</x:f>
        <x:v>#N/A</x:v>
      </x:c>
      <x:c r="J77" s="94" t="e">
        <x:f>IF('Dashboard'!$C$14="Yes",'Parity Gaps'!K15,NA())</x:f>
        <x:v>#N/A</x:v>
      </x:c>
      <x:c r="K77" s="94" t="e">
        <x:f>IF('Dashboard'!$C$15="Yes",'Parity Gaps'!L15,NA())</x:f>
        <x:v>#N/A</x:v>
      </x:c>
      <x:c r="L77" s="94" t="e">
        <x:f>IF('Dashboard'!$C$16="Yes",'Parity Gaps'!M15,NA())</x:f>
        <x:v>#N/A</x:v>
      </x:c>
      <x:c r="M77" s="94" t="n">
        <x:f>IF('Dashboard'!$C$17="Yes",'Parity Gaps'!N15,NA())</x:f>
        <x:v>0.06963911849991233</x:v>
      </x:c>
      <x:c r="N77" s="94" t="e">
        <x:f>IF('Dashboard'!$C$18="Yes",'Parity Gaps'!O15,NA())</x:f>
        <x:v>#N/A</x:v>
      </x:c>
      <x:c r="O77" s="94" t="e">
        <x:f>IF('Dashboard'!$C$19="Yes",'Parity Gaps'!P15,NA())</x:f>
        <x:v>#N/A</x:v>
      </x:c>
      <x:c r="P77" s="94" t="e">
        <x:f>IF('Dashboard'!$C$20="Yes",'Parity Gaps'!Q15,NA())</x:f>
        <x:v>#N/A</x:v>
      </x:c>
      <x:c r="Q77" s="94" t="e">
        <x:f>IF('Dashboard'!$C$21="Yes",'Parity Gaps'!R15,NA())</x:f>
        <x:v>#N/A</x:v>
      </x:c>
      <x:c r="R77" s="203" t="n">
        <x:f>0</x:f>
        <x:v>0</x:v>
      </x:c>
    </x:row>
    <x:row r="78">
      <x:c r="A78" s="45" t="n">
        <x:f>'Parity Gaps'!A16</x:f>
        <x:v>2011</x:v>
      </x:c>
      <x:c r="B78" s="94" t="e">
        <x:f>IF('Dashboard'!$C$6="Yes",'Parity Gaps'!C16,NA())</x:f>
        <x:v>#N/A</x:v>
      </x:c>
      <x:c r="C78" s="94" t="e">
        <x:f>IF('Dashboard'!$C$7="Yes",'Parity Gaps'!D16,NA())</x:f>
        <x:v>#N/A</x:v>
      </x:c>
      <x:c r="D78" s="94" t="e">
        <x:f>IF('Dashboard'!$C$8="Yes",'Parity Gaps'!E16,NA())</x:f>
        <x:v>#N/A</x:v>
      </x:c>
      <x:c r="E78" s="94" t="n">
        <x:f>IF('Dashboard'!$C$9="Yes",'Parity Gaps'!F16,NA())</x:f>
        <x:v>0</x:v>
      </x:c>
      <x:c r="F78" s="94" t="e">
        <x:f>IF('Dashboard'!$C$10="Yes",'Parity Gaps'!G16,NA())</x:f>
        <x:v>#N/A</x:v>
      </x:c>
      <x:c r="G78" s="94" t="e">
        <x:f>IF('Dashboard'!$C$11="Yes",'Parity Gaps'!H16,NA())</x:f>
        <x:v>#N/A</x:v>
      </x:c>
      <x:c r="H78" s="94" t="e">
        <x:f>IF('Dashboard'!$C$12="Yes",'Parity Gaps'!I16,NA())</x:f>
        <x:v>#N/A</x:v>
      </x:c>
      <x:c r="I78" s="94" t="e">
        <x:f>IF('Dashboard'!$C$13="Yes",'Parity Gaps'!J16,NA())</x:f>
        <x:v>#N/A</x:v>
      </x:c>
      <x:c r="J78" s="94" t="e">
        <x:f>IF('Dashboard'!$C$14="Yes",'Parity Gaps'!K16,NA())</x:f>
        <x:v>#N/A</x:v>
      </x:c>
      <x:c r="K78" s="94" t="e">
        <x:f>IF('Dashboard'!$C$15="Yes",'Parity Gaps'!L16,NA())</x:f>
        <x:v>#N/A</x:v>
      </x:c>
      <x:c r="L78" s="94" t="e">
        <x:f>IF('Dashboard'!$C$16="Yes",'Parity Gaps'!M16,NA())</x:f>
        <x:v>#N/A</x:v>
      </x:c>
      <x:c r="M78" s="94" t="n">
        <x:f>IF('Dashboard'!$C$17="Yes",'Parity Gaps'!N16,NA())</x:f>
        <x:v>0.10297901363678541</x:v>
      </x:c>
      <x:c r="N78" s="94" t="e">
        <x:f>IF('Dashboard'!$C$18="Yes",'Parity Gaps'!O16,NA())</x:f>
        <x:v>#N/A</x:v>
      </x:c>
      <x:c r="O78" s="94" t="e">
        <x:f>IF('Dashboard'!$C$19="Yes",'Parity Gaps'!P16,NA())</x:f>
        <x:v>#N/A</x:v>
      </x:c>
      <x:c r="P78" s="94" t="e">
        <x:f>IF('Dashboard'!$C$20="Yes",'Parity Gaps'!Q16,NA())</x:f>
        <x:v>#N/A</x:v>
      </x:c>
      <x:c r="Q78" s="94" t="e">
        <x:f>IF('Dashboard'!$C$21="Yes",'Parity Gaps'!R16,NA())</x:f>
        <x:v>#N/A</x:v>
      </x:c>
      <x:c r="R78" s="203" t="n">
        <x:f>0</x:f>
        <x:v>0</x:v>
      </x:c>
    </x:row>
    <x:row r="79">
      <x:c r="A79" s="45" t="n">
        <x:f>'Parity Gaps'!A17</x:f>
        <x:v>2012</x:v>
      </x:c>
      <x:c r="B79" s="94" t="e">
        <x:f>IF('Dashboard'!$C$6="Yes",'Parity Gaps'!C17,NA())</x:f>
        <x:v>#N/A</x:v>
      </x:c>
      <x:c r="C79" s="94" t="e">
        <x:f>IF('Dashboard'!$C$7="Yes",'Parity Gaps'!D17,NA())</x:f>
        <x:v>#N/A</x:v>
      </x:c>
      <x:c r="D79" s="94" t="e">
        <x:f>IF('Dashboard'!$C$8="Yes",'Parity Gaps'!E17,NA())</x:f>
        <x:v>#N/A</x:v>
      </x:c>
      <x:c r="E79" s="94" t="n">
        <x:f>IF('Dashboard'!$C$9="Yes",'Parity Gaps'!F17,NA())</x:f>
        <x:v>0</x:v>
      </x:c>
      <x:c r="F79" s="94" t="e">
        <x:f>IF('Dashboard'!$C$10="Yes",'Parity Gaps'!G17,NA())</x:f>
        <x:v>#N/A</x:v>
      </x:c>
      <x:c r="G79" s="94" t="e">
        <x:f>IF('Dashboard'!$C$11="Yes",'Parity Gaps'!H17,NA())</x:f>
        <x:v>#N/A</x:v>
      </x:c>
      <x:c r="H79" s="94" t="e">
        <x:f>IF('Dashboard'!$C$12="Yes",'Parity Gaps'!I17,NA())</x:f>
        <x:v>#N/A</x:v>
      </x:c>
      <x:c r="I79" s="94" t="e">
        <x:f>IF('Dashboard'!$C$13="Yes",'Parity Gaps'!J17,NA())</x:f>
        <x:v>#N/A</x:v>
      </x:c>
      <x:c r="J79" s="94" t="e">
        <x:f>IF('Dashboard'!$C$14="Yes",'Parity Gaps'!K17,NA())</x:f>
        <x:v>#N/A</x:v>
      </x:c>
      <x:c r="K79" s="94" t="e">
        <x:f>IF('Dashboard'!$C$15="Yes",'Parity Gaps'!L17,NA())</x:f>
        <x:v>#N/A</x:v>
      </x:c>
      <x:c r="L79" s="94" t="e">
        <x:f>IF('Dashboard'!$C$16="Yes",'Parity Gaps'!M17,NA())</x:f>
        <x:v>#N/A</x:v>
      </x:c>
      <x:c r="M79" s="94" t="n">
        <x:f>IF('Dashboard'!$C$17="Yes",'Parity Gaps'!N17,NA())</x:f>
        <x:v>0.13050181708090425</x:v>
      </x:c>
      <x:c r="N79" s="94" t="e">
        <x:f>IF('Dashboard'!$C$18="Yes",'Parity Gaps'!O17,NA())</x:f>
        <x:v>#N/A</x:v>
      </x:c>
      <x:c r="O79" s="94" t="e">
        <x:f>IF('Dashboard'!$C$19="Yes",'Parity Gaps'!P17,NA())</x:f>
        <x:v>#N/A</x:v>
      </x:c>
      <x:c r="P79" s="94" t="e">
        <x:f>IF('Dashboard'!$C$20="Yes",'Parity Gaps'!Q17,NA())</x:f>
        <x:v>#N/A</x:v>
      </x:c>
      <x:c r="Q79" s="94" t="e">
        <x:f>IF('Dashboard'!$C$21="Yes",'Parity Gaps'!R17,NA())</x:f>
        <x:v>#N/A</x:v>
      </x:c>
      <x:c r="R79" s="203" t="n">
        <x:f>0</x:f>
        <x:v>0</x:v>
      </x:c>
    </x:row>
    <x:row r="80">
      <x:c r="A80" s="45" t="n">
        <x:f>'Parity Gaps'!A18</x:f>
        <x:v>2013</x:v>
      </x:c>
      <x:c r="B80" s="94" t="e">
        <x:f>IF('Dashboard'!$C$6="Yes",'Parity Gaps'!C18,NA())</x:f>
        <x:v>#N/A</x:v>
      </x:c>
      <x:c r="C80" s="94" t="e">
        <x:f>IF('Dashboard'!$C$7="Yes",'Parity Gaps'!D18,NA())</x:f>
        <x:v>#N/A</x:v>
      </x:c>
      <x:c r="D80" s="94" t="e">
        <x:f>IF('Dashboard'!$C$8="Yes",'Parity Gaps'!E18,NA())</x:f>
        <x:v>#N/A</x:v>
      </x:c>
      <x:c r="E80" s="94" t="n">
        <x:f>IF('Dashboard'!$C$9="Yes",'Parity Gaps'!F18,NA())</x:f>
        <x:v>0</x:v>
      </x:c>
      <x:c r="F80" s="94" t="e">
        <x:f>IF('Dashboard'!$C$10="Yes",'Parity Gaps'!G18,NA())</x:f>
        <x:v>#N/A</x:v>
      </x:c>
      <x:c r="G80" s="94" t="e">
        <x:f>IF('Dashboard'!$C$11="Yes",'Parity Gaps'!H18,NA())</x:f>
        <x:v>#N/A</x:v>
      </x:c>
      <x:c r="H80" s="94" t="e">
        <x:f>IF('Dashboard'!$C$12="Yes",'Parity Gaps'!I18,NA())</x:f>
        <x:v>#N/A</x:v>
      </x:c>
      <x:c r="I80" s="94" t="e">
        <x:f>IF('Dashboard'!$C$13="Yes",'Parity Gaps'!J18,NA())</x:f>
        <x:v>#N/A</x:v>
      </x:c>
      <x:c r="J80" s="94" t="e">
        <x:f>IF('Dashboard'!$C$14="Yes",'Parity Gaps'!K18,NA())</x:f>
        <x:v>#N/A</x:v>
      </x:c>
      <x:c r="K80" s="94" t="e">
        <x:f>IF('Dashboard'!$C$15="Yes",'Parity Gaps'!L18,NA())</x:f>
        <x:v>#N/A</x:v>
      </x:c>
      <x:c r="L80" s="94" t="e">
        <x:f>IF('Dashboard'!$C$16="Yes",'Parity Gaps'!M18,NA())</x:f>
        <x:v>#N/A</x:v>
      </x:c>
      <x:c r="M80" s="94" t="n">
        <x:f>IF('Dashboard'!$C$17="Yes",'Parity Gaps'!N18,NA())</x:f>
        <x:v>0.16885168472855594</x:v>
      </x:c>
      <x:c r="N80" s="94" t="e">
        <x:f>IF('Dashboard'!$C$18="Yes",'Parity Gaps'!O18,NA())</x:f>
        <x:v>#N/A</x:v>
      </x:c>
      <x:c r="O80" s="94" t="e">
        <x:f>IF('Dashboard'!$C$19="Yes",'Parity Gaps'!P18,NA())</x:f>
        <x:v>#N/A</x:v>
      </x:c>
      <x:c r="P80" s="94" t="e">
        <x:f>IF('Dashboard'!$C$20="Yes",'Parity Gaps'!Q18,NA())</x:f>
        <x:v>#N/A</x:v>
      </x:c>
      <x:c r="Q80" s="94" t="e">
        <x:f>IF('Dashboard'!$C$21="Yes",'Parity Gaps'!R18,NA())</x:f>
        <x:v>#N/A</x:v>
      </x:c>
      <x:c r="R80" s="203" t="n">
        <x:f>0</x:f>
        <x:v>0</x:v>
      </x:c>
    </x:row>
    <x:row r="81">
      <x:c r="A81" s="45" t="n">
        <x:f>'Parity Gaps'!A19</x:f>
        <x:v>2014</x:v>
      </x:c>
      <x:c r="B81" s="94" t="e">
        <x:f>IF('Dashboard'!$C$6="Yes",'Parity Gaps'!C19,NA())</x:f>
        <x:v>#N/A</x:v>
      </x:c>
      <x:c r="C81" s="94" t="e">
        <x:f>IF('Dashboard'!$C$7="Yes",'Parity Gaps'!D19,NA())</x:f>
        <x:v>#N/A</x:v>
      </x:c>
      <x:c r="D81" s="94" t="e">
        <x:f>IF('Dashboard'!$C$8="Yes",'Parity Gaps'!E19,NA())</x:f>
        <x:v>#N/A</x:v>
      </x:c>
      <x:c r="E81" s="94" t="n">
        <x:f>IF('Dashboard'!$C$9="Yes",'Parity Gaps'!F19,NA())</x:f>
        <x:v>0</x:v>
      </x:c>
      <x:c r="F81" s="94" t="e">
        <x:f>IF('Dashboard'!$C$10="Yes",'Parity Gaps'!G19,NA())</x:f>
        <x:v>#N/A</x:v>
      </x:c>
      <x:c r="G81" s="94" t="e">
        <x:f>IF('Dashboard'!$C$11="Yes",'Parity Gaps'!H19,NA())</x:f>
        <x:v>#N/A</x:v>
      </x:c>
      <x:c r="H81" s="94" t="e">
        <x:f>IF('Dashboard'!$C$12="Yes",'Parity Gaps'!I19,NA())</x:f>
        <x:v>#N/A</x:v>
      </x:c>
      <x:c r="I81" s="94" t="e">
        <x:f>IF('Dashboard'!$C$13="Yes",'Parity Gaps'!J19,NA())</x:f>
        <x:v>#N/A</x:v>
      </x:c>
      <x:c r="J81" s="94" t="e">
        <x:f>IF('Dashboard'!$C$14="Yes",'Parity Gaps'!K19,NA())</x:f>
        <x:v>#N/A</x:v>
      </x:c>
      <x:c r="K81" s="94" t="e">
        <x:f>IF('Dashboard'!$C$15="Yes",'Parity Gaps'!L19,NA())</x:f>
        <x:v>#N/A</x:v>
      </x:c>
      <x:c r="L81" s="94" t="e">
        <x:f>IF('Dashboard'!$C$16="Yes",'Parity Gaps'!M19,NA())</x:f>
        <x:v>#N/A</x:v>
      </x:c>
      <x:c r="M81" s="94" t="n">
        <x:f>IF('Dashboard'!$C$17="Yes",'Parity Gaps'!N19,NA())</x:f>
        <x:v>0.19238355635203797</x:v>
      </x:c>
      <x:c r="N81" s="94" t="e">
        <x:f>IF('Dashboard'!$C$18="Yes",'Parity Gaps'!O19,NA())</x:f>
        <x:v>#N/A</x:v>
      </x:c>
      <x:c r="O81" s="94" t="e">
        <x:f>IF('Dashboard'!$C$19="Yes",'Parity Gaps'!P19,NA())</x:f>
        <x:v>#N/A</x:v>
      </x:c>
      <x:c r="P81" s="94" t="e">
        <x:f>IF('Dashboard'!$C$20="Yes",'Parity Gaps'!Q19,NA())</x:f>
        <x:v>#N/A</x:v>
      </x:c>
      <x:c r="Q81" s="94" t="e">
        <x:f>IF('Dashboard'!$C$21="Yes",'Parity Gaps'!R19,NA())</x:f>
        <x:v>#N/A</x:v>
      </x:c>
      <x:c r="R81" s="203" t="n">
        <x:f>0</x:f>
        <x:v>0</x:v>
      </x:c>
    </x:row>
    <x:row r="82">
      <x:c r="A82" s="45" t="n">
        <x:f>'Parity Gaps'!A20</x:f>
        <x:v>2015</x:v>
      </x:c>
      <x:c r="B82" s="94" t="e">
        <x:f>IF('Dashboard'!$C$6="Yes",'Parity Gaps'!C20,NA())</x:f>
        <x:v>#N/A</x:v>
      </x:c>
      <x:c r="C82" s="94" t="e">
        <x:f>IF('Dashboard'!$C$7="Yes",'Parity Gaps'!D20,NA())</x:f>
        <x:v>#N/A</x:v>
      </x:c>
      <x:c r="D82" s="94" t="e">
        <x:f>IF('Dashboard'!$C$8="Yes",'Parity Gaps'!E20,NA())</x:f>
        <x:v>#N/A</x:v>
      </x:c>
      <x:c r="E82" s="94" t="n">
        <x:f>IF('Dashboard'!$C$9="Yes",'Parity Gaps'!F20,NA())</x:f>
        <x:v>0</x:v>
      </x:c>
      <x:c r="F82" s="94" t="e">
        <x:f>IF('Dashboard'!$C$10="Yes",'Parity Gaps'!G20,NA())</x:f>
        <x:v>#N/A</x:v>
      </x:c>
      <x:c r="G82" s="94" t="e">
        <x:f>IF('Dashboard'!$C$11="Yes",'Parity Gaps'!H20,NA())</x:f>
        <x:v>#N/A</x:v>
      </x:c>
      <x:c r="H82" s="94" t="e">
        <x:f>IF('Dashboard'!$C$12="Yes",'Parity Gaps'!I20,NA())</x:f>
        <x:v>#N/A</x:v>
      </x:c>
      <x:c r="I82" s="94" t="e">
        <x:f>IF('Dashboard'!$C$13="Yes",'Parity Gaps'!J20,NA())</x:f>
        <x:v>#N/A</x:v>
      </x:c>
      <x:c r="J82" s="94" t="e">
        <x:f>IF('Dashboard'!$C$14="Yes",'Parity Gaps'!K20,NA())</x:f>
        <x:v>#N/A</x:v>
      </x:c>
      <x:c r="K82" s="94" t="e">
        <x:f>IF('Dashboard'!$C$15="Yes",'Parity Gaps'!L20,NA())</x:f>
        <x:v>#N/A</x:v>
      </x:c>
      <x:c r="L82" s="94" t="e">
        <x:f>IF('Dashboard'!$C$16="Yes",'Parity Gaps'!M20,NA())</x:f>
        <x:v>#N/A</x:v>
      </x:c>
      <x:c r="M82" s="94" t="n">
        <x:f>IF('Dashboard'!$C$17="Yes",'Parity Gaps'!N20,NA())</x:f>
        <x:v>0.1689553941659947</x:v>
      </x:c>
      <x:c r="N82" s="94" t="e">
        <x:f>IF('Dashboard'!$C$18="Yes",'Parity Gaps'!O20,NA())</x:f>
        <x:v>#N/A</x:v>
      </x:c>
      <x:c r="O82" s="94" t="e">
        <x:f>IF('Dashboard'!$C$19="Yes",'Parity Gaps'!P20,NA())</x:f>
        <x:v>#N/A</x:v>
      </x:c>
      <x:c r="P82" s="94" t="e">
        <x:f>IF('Dashboard'!$C$20="Yes",'Parity Gaps'!Q20,NA())</x:f>
        <x:v>#N/A</x:v>
      </x:c>
      <x:c r="Q82" s="94" t="e">
        <x:f>IF('Dashboard'!$C$21="Yes",'Parity Gaps'!R20,NA())</x:f>
        <x:v>#N/A</x:v>
      </x:c>
      <x:c r="R82" s="203" t="n">
        <x:f>0</x:f>
        <x:v>0</x:v>
      </x:c>
    </x:row>
    <x:row r="83">
      <x:c r="A83" s="45" t="n">
        <x:f>'Parity Gaps'!A21</x:f>
        <x:v>2016</x:v>
      </x:c>
      <x:c r="B83" s="94" t="e">
        <x:f>IF('Dashboard'!$C$6="Yes",'Parity Gaps'!C21,NA())</x:f>
        <x:v>#N/A</x:v>
      </x:c>
      <x:c r="C83" s="94" t="e">
        <x:f>IF('Dashboard'!$C$7="Yes",'Parity Gaps'!D21,NA())</x:f>
        <x:v>#N/A</x:v>
      </x:c>
      <x:c r="D83" s="94" t="e">
        <x:f>IF('Dashboard'!$C$8="Yes",'Parity Gaps'!E21,NA())</x:f>
        <x:v>#N/A</x:v>
      </x:c>
      <x:c r="E83" s="94" t="n">
        <x:f>IF('Dashboard'!$C$9="Yes",'Parity Gaps'!F21,NA())</x:f>
        <x:v>0</x:v>
      </x:c>
      <x:c r="F83" s="94" t="e">
        <x:f>IF('Dashboard'!$C$10="Yes",'Parity Gaps'!G21,NA())</x:f>
        <x:v>#N/A</x:v>
      </x:c>
      <x:c r="G83" s="94" t="e">
        <x:f>IF('Dashboard'!$C$11="Yes",'Parity Gaps'!H21,NA())</x:f>
        <x:v>#N/A</x:v>
      </x:c>
      <x:c r="H83" s="94" t="e">
        <x:f>IF('Dashboard'!$C$12="Yes",'Parity Gaps'!I21,NA())</x:f>
        <x:v>#N/A</x:v>
      </x:c>
      <x:c r="I83" s="94" t="e">
        <x:f>IF('Dashboard'!$C$13="Yes",'Parity Gaps'!J21,NA())</x:f>
        <x:v>#N/A</x:v>
      </x:c>
      <x:c r="J83" s="94" t="e">
        <x:f>IF('Dashboard'!$C$14="Yes",'Parity Gaps'!K21,NA())</x:f>
        <x:v>#N/A</x:v>
      </x:c>
      <x:c r="K83" s="94" t="e">
        <x:f>IF('Dashboard'!$C$15="Yes",'Parity Gaps'!L21,NA())</x:f>
        <x:v>#N/A</x:v>
      </x:c>
      <x:c r="L83" s="94" t="e">
        <x:f>IF('Dashboard'!$C$16="Yes",'Parity Gaps'!M21,NA())</x:f>
        <x:v>#N/A</x:v>
      </x:c>
      <x:c r="M83" s="94" t="n">
        <x:f>IF('Dashboard'!$C$17="Yes",'Parity Gaps'!N21,NA())</x:f>
        <x:v>0.1799435328055532</x:v>
      </x:c>
      <x:c r="N83" s="94" t="e">
        <x:f>IF('Dashboard'!$C$18="Yes",'Parity Gaps'!O21,NA())</x:f>
        <x:v>#N/A</x:v>
      </x:c>
      <x:c r="O83" s="94" t="e">
        <x:f>IF('Dashboard'!$C$19="Yes",'Parity Gaps'!P21,NA())</x:f>
        <x:v>#N/A</x:v>
      </x:c>
      <x:c r="P83" s="94" t="e">
        <x:f>IF('Dashboard'!$C$20="Yes",'Parity Gaps'!Q21,NA())</x:f>
        <x:v>#N/A</x:v>
      </x:c>
      <x:c r="Q83" s="94" t="e">
        <x:f>IF('Dashboard'!$C$21="Yes",'Parity Gaps'!R21,NA())</x:f>
        <x:v>#N/A</x:v>
      </x:c>
      <x:c r="R83" s="203" t="n">
        <x:f>0</x:f>
        <x:v>0</x:v>
      </x:c>
    </x:row>
    <x:row r="84">
      <x:c r="A84" s="45" t="n">
        <x:f>'Parity Gaps'!A22</x:f>
        <x:v>2017</x:v>
      </x:c>
      <x:c r="B84" s="94" t="e">
        <x:f>IF('Dashboard'!$C$6="Yes",'Parity Gaps'!C22,NA())</x:f>
        <x:v>#N/A</x:v>
      </x:c>
      <x:c r="C84" s="94" t="e">
        <x:f>IF('Dashboard'!$C$7="Yes",'Parity Gaps'!D22,NA())</x:f>
        <x:v>#N/A</x:v>
      </x:c>
      <x:c r="D84" s="94" t="e">
        <x:f>IF('Dashboard'!$C$8="Yes",'Parity Gaps'!E22,NA())</x:f>
        <x:v>#N/A</x:v>
      </x:c>
      <x:c r="E84" s="94" t="n">
        <x:f>IF('Dashboard'!$C$9="Yes",'Parity Gaps'!F22,NA())</x:f>
        <x:v>0</x:v>
      </x:c>
      <x:c r="F84" s="94" t="e">
        <x:f>IF('Dashboard'!$C$10="Yes",'Parity Gaps'!G22,NA())</x:f>
        <x:v>#N/A</x:v>
      </x:c>
      <x:c r="G84" s="94" t="e">
        <x:f>IF('Dashboard'!$C$11="Yes",'Parity Gaps'!H22,NA())</x:f>
        <x:v>#N/A</x:v>
      </x:c>
      <x:c r="H84" s="94" t="e">
        <x:f>IF('Dashboard'!$C$12="Yes",'Parity Gaps'!I22,NA())</x:f>
        <x:v>#N/A</x:v>
      </x:c>
      <x:c r="I84" s="94" t="e">
        <x:f>IF('Dashboard'!$C$13="Yes",'Parity Gaps'!J22,NA())</x:f>
        <x:v>#N/A</x:v>
      </x:c>
      <x:c r="J84" s="94" t="e">
        <x:f>IF('Dashboard'!$C$14="Yes",'Parity Gaps'!K22,NA())</x:f>
        <x:v>#N/A</x:v>
      </x:c>
      <x:c r="K84" s="94" t="e">
        <x:f>IF('Dashboard'!$C$15="Yes",'Parity Gaps'!L22,NA())</x:f>
        <x:v>#N/A</x:v>
      </x:c>
      <x:c r="L84" s="94" t="e">
        <x:f>IF('Dashboard'!$C$16="Yes",'Parity Gaps'!M22,NA())</x:f>
        <x:v>#N/A</x:v>
      </x:c>
      <x:c r="M84" s="94" t="n">
        <x:f>IF('Dashboard'!$C$17="Yes",'Parity Gaps'!N22,NA())</x:f>
        <x:v>0.1878583280298327</x:v>
      </x:c>
      <x:c r="N84" s="94" t="e">
        <x:f>IF('Dashboard'!$C$18="Yes",'Parity Gaps'!O22,NA())</x:f>
        <x:v>#N/A</x:v>
      </x:c>
      <x:c r="O84" s="94" t="e">
        <x:f>IF('Dashboard'!$C$19="Yes",'Parity Gaps'!P22,NA())</x:f>
        <x:v>#N/A</x:v>
      </x:c>
      <x:c r="P84" s="94" t="e">
        <x:f>IF('Dashboard'!$C$20="Yes",'Parity Gaps'!Q22,NA())</x:f>
        <x:v>#N/A</x:v>
      </x:c>
      <x:c r="Q84" s="94" t="e">
        <x:f>IF('Dashboard'!$C$21="Yes",'Parity Gaps'!R22,NA())</x:f>
        <x:v>#N/A</x:v>
      </x:c>
      <x:c r="R84" s="203" t="n">
        <x:f>0</x:f>
        <x:v>0</x:v>
      </x:c>
    </x:row>
    <x:row r="85">
      <x:c r="A85" s="45" t="n">
        <x:f>'Parity Gaps'!A23</x:f>
        <x:v>2018</x:v>
      </x:c>
      <x:c r="B85" s="94" t="e">
        <x:f>IF('Dashboard'!$C$6="Yes",'Parity Gaps'!C23,NA())</x:f>
        <x:v>#N/A</x:v>
      </x:c>
      <x:c r="C85" s="94" t="e">
        <x:f>IF('Dashboard'!$C$7="Yes",'Parity Gaps'!D23,NA())</x:f>
        <x:v>#N/A</x:v>
      </x:c>
      <x:c r="D85" s="94" t="e">
        <x:f>IF('Dashboard'!$C$8="Yes",'Parity Gaps'!E23,NA())</x:f>
        <x:v>#N/A</x:v>
      </x:c>
      <x:c r="E85" s="94" t="n">
        <x:f>IF('Dashboard'!$C$9="Yes",'Parity Gaps'!F23,NA())</x:f>
        <x:v>0</x:v>
      </x:c>
      <x:c r="F85" s="94" t="e">
        <x:f>IF('Dashboard'!$C$10="Yes",'Parity Gaps'!G23,NA())</x:f>
        <x:v>#N/A</x:v>
      </x:c>
      <x:c r="G85" s="94" t="e">
        <x:f>IF('Dashboard'!$C$11="Yes",'Parity Gaps'!H23,NA())</x:f>
        <x:v>#N/A</x:v>
      </x:c>
      <x:c r="H85" s="94" t="e">
        <x:f>IF('Dashboard'!$C$12="Yes",'Parity Gaps'!I23,NA())</x:f>
        <x:v>#N/A</x:v>
      </x:c>
      <x:c r="I85" s="94" t="e">
        <x:f>IF('Dashboard'!$C$13="Yes",'Parity Gaps'!J23,NA())</x:f>
        <x:v>#N/A</x:v>
      </x:c>
      <x:c r="J85" s="94" t="e">
        <x:f>IF('Dashboard'!$C$14="Yes",'Parity Gaps'!K23,NA())</x:f>
        <x:v>#N/A</x:v>
      </x:c>
      <x:c r="K85" s="94" t="e">
        <x:f>IF('Dashboard'!$C$15="Yes",'Parity Gaps'!L23,NA())</x:f>
        <x:v>#N/A</x:v>
      </x:c>
      <x:c r="L85" s="94" t="e">
        <x:f>IF('Dashboard'!$C$16="Yes",'Parity Gaps'!M23,NA())</x:f>
        <x:v>#N/A</x:v>
      </x:c>
      <x:c r="M85" s="94" t="n">
        <x:f>IF('Dashboard'!$C$17="Yes",'Parity Gaps'!N23,NA())</x:f>
        <x:v>0.20741871242612997</x:v>
      </x:c>
      <x:c r="N85" s="94" t="e">
        <x:f>IF('Dashboard'!$C$18="Yes",'Parity Gaps'!O23,NA())</x:f>
        <x:v>#N/A</x:v>
      </x:c>
      <x:c r="O85" s="94" t="e">
        <x:f>IF('Dashboard'!$C$19="Yes",'Parity Gaps'!P23,NA())</x:f>
        <x:v>#N/A</x:v>
      </x:c>
      <x:c r="P85" s="94" t="e">
        <x:f>IF('Dashboard'!$C$20="Yes",'Parity Gaps'!Q23,NA())</x:f>
        <x:v>#N/A</x:v>
      </x:c>
      <x:c r="Q85" s="94" t="e">
        <x:f>IF('Dashboard'!$C$21="Yes",'Parity Gaps'!R23,NA())</x:f>
        <x:v>#N/A</x:v>
      </x:c>
      <x:c r="R85" s="203" t="n">
        <x:f>0</x:f>
        <x:v>0</x:v>
      </x:c>
    </x:row>
    <x:row r="86">
      <x:c r="A86" s="45" t="n">
        <x:f>'Parity Gaps'!A24</x:f>
        <x:v>2019</x:v>
      </x:c>
      <x:c r="B86" s="94" t="e">
        <x:f>IF('Dashboard'!$C$6="Yes",'Parity Gaps'!C24,NA())</x:f>
        <x:v>#N/A</x:v>
      </x:c>
      <x:c r="C86" s="94" t="e">
        <x:f>IF('Dashboard'!$C$7="Yes",'Parity Gaps'!D24,NA())</x:f>
        <x:v>#N/A</x:v>
      </x:c>
      <x:c r="D86" s="94" t="e">
        <x:f>IF('Dashboard'!$C$8="Yes",'Parity Gaps'!E24,NA())</x:f>
        <x:v>#N/A</x:v>
      </x:c>
      <x:c r="E86" s="94" t="n">
        <x:f>IF('Dashboard'!$C$9="Yes",'Parity Gaps'!F24,NA())</x:f>
        <x:v>0</x:v>
      </x:c>
      <x:c r="F86" s="94" t="e">
        <x:f>IF('Dashboard'!$C$10="Yes",'Parity Gaps'!G24,NA())</x:f>
        <x:v>#N/A</x:v>
      </x:c>
      <x:c r="G86" s="94" t="e">
        <x:f>IF('Dashboard'!$C$11="Yes",'Parity Gaps'!H24,NA())</x:f>
        <x:v>#N/A</x:v>
      </x:c>
      <x:c r="H86" s="94" t="e">
        <x:f>IF('Dashboard'!$C$12="Yes",'Parity Gaps'!I24,NA())</x:f>
        <x:v>#N/A</x:v>
      </x:c>
      <x:c r="I86" s="94" t="e">
        <x:f>IF('Dashboard'!$C$13="Yes",'Parity Gaps'!J24,NA())</x:f>
        <x:v>#N/A</x:v>
      </x:c>
      <x:c r="J86" s="94" t="e">
        <x:f>IF('Dashboard'!$C$14="Yes",'Parity Gaps'!K24,NA())</x:f>
        <x:v>#N/A</x:v>
      </x:c>
      <x:c r="K86" s="94" t="e">
        <x:f>IF('Dashboard'!$C$15="Yes",'Parity Gaps'!L24,NA())</x:f>
        <x:v>#N/A</x:v>
      </x:c>
      <x:c r="L86" s="94" t="e">
        <x:f>IF('Dashboard'!$C$16="Yes",'Parity Gaps'!M24,NA())</x:f>
        <x:v>#N/A</x:v>
      </x:c>
      <x:c r="M86" s="94" t="n">
        <x:f>IF('Dashboard'!$C$17="Yes",'Parity Gaps'!N24,NA())</x:f>
        <x:v>0.2163412063282526</x:v>
      </x:c>
      <x:c r="N86" s="94" t="e">
        <x:f>IF('Dashboard'!$C$18="Yes",'Parity Gaps'!O24,NA())</x:f>
        <x:v>#N/A</x:v>
      </x:c>
      <x:c r="O86" s="94" t="e">
        <x:f>IF('Dashboard'!$C$19="Yes",'Parity Gaps'!P24,NA())</x:f>
        <x:v>#N/A</x:v>
      </x:c>
      <x:c r="P86" s="94" t="e">
        <x:f>IF('Dashboard'!$C$20="Yes",'Parity Gaps'!Q24,NA())</x:f>
        <x:v>#N/A</x:v>
      </x:c>
      <x:c r="Q86" s="94" t="e">
        <x:f>IF('Dashboard'!$C$21="Yes",'Parity Gaps'!R24,NA())</x:f>
        <x:v>#N/A</x:v>
      </x:c>
      <x:c r="R86" s="203" t="n">
        <x:f>0</x:f>
        <x:v>0</x:v>
      </x:c>
    </x:row>
    <x:row r="87">
      <x:c r="A87" s="45" t="n">
        <x:f>'Parity Gaps'!A25</x:f>
        <x:v>2020</x:v>
      </x:c>
      <x:c r="B87" s="94" t="e">
        <x:f>IF('Dashboard'!$C$6="Yes",'Parity Gaps'!C25,NA())</x:f>
        <x:v>#N/A</x:v>
      </x:c>
      <x:c r="C87" s="94" t="e">
        <x:f>IF('Dashboard'!$C$7="Yes",'Parity Gaps'!D25,NA())</x:f>
        <x:v>#N/A</x:v>
      </x:c>
      <x:c r="D87" s="94" t="e">
        <x:f>IF('Dashboard'!$C$8="Yes",'Parity Gaps'!E25,NA())</x:f>
        <x:v>#N/A</x:v>
      </x:c>
      <x:c r="E87" s="94" t="n">
        <x:f>IF('Dashboard'!$C$9="Yes",'Parity Gaps'!F25,NA())</x:f>
        <x:v>0</x:v>
      </x:c>
      <x:c r="F87" s="94" t="e">
        <x:f>IF('Dashboard'!$C$10="Yes",'Parity Gaps'!G25,NA())</x:f>
        <x:v>#N/A</x:v>
      </x:c>
      <x:c r="G87" s="94" t="e">
        <x:f>IF('Dashboard'!$C$11="Yes",'Parity Gaps'!H25,NA())</x:f>
        <x:v>#N/A</x:v>
      </x:c>
      <x:c r="H87" s="94" t="e">
        <x:f>IF('Dashboard'!$C$12="Yes",'Parity Gaps'!I25,NA())</x:f>
        <x:v>#N/A</x:v>
      </x:c>
      <x:c r="I87" s="94" t="e">
        <x:f>IF('Dashboard'!$C$13="Yes",'Parity Gaps'!J25,NA())</x:f>
        <x:v>#N/A</x:v>
      </x:c>
      <x:c r="J87" s="94" t="e">
        <x:f>IF('Dashboard'!$C$14="Yes",'Parity Gaps'!K25,NA())</x:f>
        <x:v>#N/A</x:v>
      </x:c>
      <x:c r="K87" s="94" t="e">
        <x:f>IF('Dashboard'!$C$15="Yes",'Parity Gaps'!L25,NA())</x:f>
        <x:v>#N/A</x:v>
      </x:c>
      <x:c r="L87" s="94" t="e">
        <x:f>IF('Dashboard'!$C$16="Yes",'Parity Gaps'!M25,NA())</x:f>
        <x:v>#N/A</x:v>
      </x:c>
      <x:c r="M87" s="94" t="n">
        <x:f>IF('Dashboard'!$C$17="Yes",'Parity Gaps'!N25,NA())</x:f>
        <x:v>0.2151764689178317</x:v>
      </x:c>
      <x:c r="N87" s="94" t="e">
        <x:f>IF('Dashboard'!$C$18="Yes",'Parity Gaps'!O25,NA())</x:f>
        <x:v>#N/A</x:v>
      </x:c>
      <x:c r="O87" s="94" t="e">
        <x:f>IF('Dashboard'!$C$19="Yes",'Parity Gaps'!P25,NA())</x:f>
        <x:v>#N/A</x:v>
      </x:c>
      <x:c r="P87" s="94" t="e">
        <x:f>IF('Dashboard'!$C$20="Yes",'Parity Gaps'!Q25,NA())</x:f>
        <x:v>#N/A</x:v>
      </x:c>
      <x:c r="Q87" s="94" t="e">
        <x:f>IF('Dashboard'!$C$21="Yes",'Parity Gaps'!R25,NA())</x:f>
        <x:v>#N/A</x:v>
      </x:c>
      <x:c r="R87" s="203" t="n">
        <x:f>0</x:f>
        <x:v>0</x:v>
      </x:c>
    </x:row>
    <x:row r="88">
      <x:c r="A88" s="45" t="n">
        <x:f>'Parity Gaps'!A26</x:f>
        <x:v>2021</x:v>
      </x:c>
      <x:c r="B88" s="94" t="e">
        <x:f>IF('Dashboard'!$C$6="Yes",'Parity Gaps'!C26,NA())</x:f>
        <x:v>#N/A</x:v>
      </x:c>
      <x:c r="C88" s="94" t="e">
        <x:f>IF('Dashboard'!$C$7="Yes",'Parity Gaps'!D26,NA())</x:f>
        <x:v>#N/A</x:v>
      </x:c>
      <x:c r="D88" s="94" t="e">
        <x:f>IF('Dashboard'!$C$8="Yes",'Parity Gaps'!E26,NA())</x:f>
        <x:v>#N/A</x:v>
      </x:c>
      <x:c r="E88" s="94" t="n">
        <x:f>IF('Dashboard'!$C$9="Yes",'Parity Gaps'!F26,NA())</x:f>
        <x:v>0</x:v>
      </x:c>
      <x:c r="F88" s="94" t="e">
        <x:f>IF('Dashboard'!$C$10="Yes",'Parity Gaps'!G26,NA())</x:f>
        <x:v>#N/A</x:v>
      </x:c>
      <x:c r="G88" s="94" t="e">
        <x:f>IF('Dashboard'!$C$11="Yes",'Parity Gaps'!H26,NA())</x:f>
        <x:v>#N/A</x:v>
      </x:c>
      <x:c r="H88" s="94" t="e">
        <x:f>IF('Dashboard'!$C$12="Yes",'Parity Gaps'!I26,NA())</x:f>
        <x:v>#N/A</x:v>
      </x:c>
      <x:c r="I88" s="94" t="e">
        <x:f>IF('Dashboard'!$C$13="Yes",'Parity Gaps'!J26,NA())</x:f>
        <x:v>#N/A</x:v>
      </x:c>
      <x:c r="J88" s="94" t="e">
        <x:f>IF('Dashboard'!$C$14="Yes",'Parity Gaps'!K26,NA())</x:f>
        <x:v>#N/A</x:v>
      </x:c>
      <x:c r="K88" s="94" t="e">
        <x:f>IF('Dashboard'!$C$15="Yes",'Parity Gaps'!L26,NA())</x:f>
        <x:v>#N/A</x:v>
      </x:c>
      <x:c r="L88" s="94" t="e">
        <x:f>IF('Dashboard'!$C$16="Yes",'Parity Gaps'!M26,NA())</x:f>
        <x:v>#N/A</x:v>
      </x:c>
      <x:c r="M88" s="94" t="n">
        <x:f>IF('Dashboard'!$C$17="Yes",'Parity Gaps'!N26,NA())</x:f>
        <x:v>0.2544209108064972</x:v>
      </x:c>
      <x:c r="N88" s="94" t="e">
        <x:f>IF('Dashboard'!$C$18="Yes",'Parity Gaps'!O26,NA())</x:f>
        <x:v>#N/A</x:v>
      </x:c>
      <x:c r="O88" s="94" t="e">
        <x:f>IF('Dashboard'!$C$19="Yes",'Parity Gaps'!P26,NA())</x:f>
        <x:v>#N/A</x:v>
      </x:c>
      <x:c r="P88" s="94" t="e">
        <x:f>IF('Dashboard'!$C$20="Yes",'Parity Gaps'!Q26,NA())</x:f>
        <x:v>#N/A</x:v>
      </x:c>
      <x:c r="Q88" s="94" t="e">
        <x:f>IF('Dashboard'!$C$21="Yes",'Parity Gaps'!R26,NA())</x:f>
        <x:v>#N/A</x:v>
      </x:c>
      <x:c r="R88" s="203" t="n">
        <x:f>0</x:f>
        <x:v>0</x:v>
      </x:c>
    </x:row>
    <x:row r="89">
      <x:c r="A89" s="45" t="n">
        <x:f>'Parity Gaps'!A27</x:f>
        <x:v>2022</x:v>
      </x:c>
      <x:c r="B89" s="94" t="e">
        <x:f>IF('Dashboard'!$C$6="Yes",'Parity Gaps'!C27,NA())</x:f>
        <x:v>#N/A</x:v>
      </x:c>
      <x:c r="C89" s="94" t="e">
        <x:f>IF('Dashboard'!$C$7="Yes",'Parity Gaps'!D27,NA())</x:f>
        <x:v>#N/A</x:v>
      </x:c>
      <x:c r="D89" s="94" t="e">
        <x:f>IF('Dashboard'!$C$8="Yes",'Parity Gaps'!E27,NA())</x:f>
        <x:v>#N/A</x:v>
      </x:c>
      <x:c r="E89" s="94" t="n">
        <x:f>IF('Dashboard'!$C$9="Yes",'Parity Gaps'!F27,NA())</x:f>
        <x:v>0</x:v>
      </x:c>
      <x:c r="F89" s="94" t="e">
        <x:f>IF('Dashboard'!$C$10="Yes",'Parity Gaps'!G27,NA())</x:f>
        <x:v>#N/A</x:v>
      </x:c>
      <x:c r="G89" s="94" t="e">
        <x:f>IF('Dashboard'!$C$11="Yes",'Parity Gaps'!H27,NA())</x:f>
        <x:v>#N/A</x:v>
      </x:c>
      <x:c r="H89" s="94" t="e">
        <x:f>IF('Dashboard'!$C$12="Yes",'Parity Gaps'!I27,NA())</x:f>
        <x:v>#N/A</x:v>
      </x:c>
      <x:c r="I89" s="94" t="e">
        <x:f>IF('Dashboard'!$C$13="Yes",'Parity Gaps'!J27,NA())</x:f>
        <x:v>#N/A</x:v>
      </x:c>
      <x:c r="J89" s="94" t="e">
        <x:f>IF('Dashboard'!$C$14="Yes",'Parity Gaps'!K27,NA())</x:f>
        <x:v>#N/A</x:v>
      </x:c>
      <x:c r="K89" s="94" t="e">
        <x:f>IF('Dashboard'!$C$15="Yes",'Parity Gaps'!L27,NA())</x:f>
        <x:v>#N/A</x:v>
      </x:c>
      <x:c r="L89" s="94" t="e">
        <x:f>IF('Dashboard'!$C$16="Yes",'Parity Gaps'!M27,NA())</x:f>
        <x:v>#N/A</x:v>
      </x:c>
      <x:c r="M89" s="94" t="n">
        <x:f>IF('Dashboard'!$C$17="Yes",'Parity Gaps'!N27,NA())</x:f>
        <x:v>0.2695890977959321</x:v>
      </x:c>
      <x:c r="N89" s="94" t="e">
        <x:f>IF('Dashboard'!$C$18="Yes",'Parity Gaps'!O27,NA())</x:f>
        <x:v>#N/A</x:v>
      </x:c>
      <x:c r="O89" s="94" t="e">
        <x:f>IF('Dashboard'!$C$19="Yes",'Parity Gaps'!P27,NA())</x:f>
        <x:v>#N/A</x:v>
      </x:c>
      <x:c r="P89" s="94" t="e">
        <x:f>IF('Dashboard'!$C$20="Yes",'Parity Gaps'!Q27,NA())</x:f>
        <x:v>#N/A</x:v>
      </x:c>
      <x:c r="Q89" s="94" t="e">
        <x:f>IF('Dashboard'!$C$21="Yes",'Parity Gaps'!R27,NA())</x:f>
        <x:v>#N/A</x:v>
      </x:c>
      <x:c r="R89" s="203" t="n">
        <x:f>0</x:f>
        <x:v>0</x:v>
      </x:c>
    </x:row>
    <x:row r="90">
      <x:c r="A90" s="45" t="n">
        <x:f>'Parity Gaps'!A28</x:f>
        <x:v>2023</x:v>
      </x:c>
      <x:c r="B90" s="94" t="e">
        <x:f>IF('Dashboard'!$C$6="Yes",'Parity Gaps'!C28,NA())</x:f>
        <x:v>#N/A</x:v>
      </x:c>
      <x:c r="C90" s="94" t="e">
        <x:f>IF('Dashboard'!$C$7="Yes",'Parity Gaps'!D28,NA())</x:f>
        <x:v>#N/A</x:v>
      </x:c>
      <x:c r="D90" s="94" t="e">
        <x:f>IF('Dashboard'!$C$8="Yes",'Parity Gaps'!E28,NA())</x:f>
        <x:v>#N/A</x:v>
      </x:c>
      <x:c r="E90" s="94" t="n">
        <x:f>IF('Dashboard'!$C$9="Yes",'Parity Gaps'!F28,NA())</x:f>
        <x:v>0</x:v>
      </x:c>
      <x:c r="F90" s="94" t="e">
        <x:f>IF('Dashboard'!$C$10="Yes",'Parity Gaps'!G28,NA())</x:f>
        <x:v>#N/A</x:v>
      </x:c>
      <x:c r="G90" s="94" t="e">
        <x:f>IF('Dashboard'!$C$11="Yes",'Parity Gaps'!H28,NA())</x:f>
        <x:v>#N/A</x:v>
      </x:c>
      <x:c r="H90" s="94" t="e">
        <x:f>IF('Dashboard'!$C$12="Yes",'Parity Gaps'!I28,NA())</x:f>
        <x:v>#N/A</x:v>
      </x:c>
      <x:c r="I90" s="94" t="e">
        <x:f>IF('Dashboard'!$C$13="Yes",'Parity Gaps'!J28,NA())</x:f>
        <x:v>#N/A</x:v>
      </x:c>
      <x:c r="J90" s="94" t="e">
        <x:f>IF('Dashboard'!$C$14="Yes",'Parity Gaps'!K28,NA())</x:f>
        <x:v>#N/A</x:v>
      </x:c>
      <x:c r="K90" s="94" t="e">
        <x:f>IF('Dashboard'!$C$15="Yes",'Parity Gaps'!L28,NA())</x:f>
        <x:v>#N/A</x:v>
      </x:c>
      <x:c r="L90" s="94" t="e">
        <x:f>IF('Dashboard'!$C$16="Yes",'Parity Gaps'!M28,NA())</x:f>
        <x:v>#N/A</x:v>
      </x:c>
      <x:c r="M90" s="94" t="n">
        <x:f>IF('Dashboard'!$C$17="Yes",'Parity Gaps'!N28,NA())</x:f>
        <x:v>0.2967418583032435</x:v>
      </x:c>
      <x:c r="N90" s="94" t="e">
        <x:f>IF('Dashboard'!$C$18="Yes",'Parity Gaps'!O28,NA())</x:f>
        <x:v>#N/A</x:v>
      </x:c>
      <x:c r="O90" s="94" t="e">
        <x:f>IF('Dashboard'!$C$19="Yes",'Parity Gaps'!P28,NA())</x:f>
        <x:v>#N/A</x:v>
      </x:c>
      <x:c r="P90" s="94" t="e">
        <x:f>IF('Dashboard'!$C$20="Yes",'Parity Gaps'!Q28,NA())</x:f>
        <x:v>#N/A</x:v>
      </x:c>
      <x:c r="Q90" s="94" t="e">
        <x:f>IF('Dashboard'!$C$21="Yes",'Parity Gaps'!R28,NA())</x:f>
        <x:v>#N/A</x:v>
      </x:c>
      <x:c r="R90" s="203" t="n">
        <x:f>0</x:f>
        <x:v>0</x:v>
      </x:c>
    </x:row>
    <x:row r="91">
      <x:c r="A91" s="45" t="n">
        <x:f>'Parity Gaps'!A29</x:f>
        <x:v>2024</x:v>
      </x:c>
      <x:c r="B91" s="94" t="e">
        <x:f>IF('Dashboard'!$C$6="Yes",'Parity Gaps'!C29,NA())</x:f>
        <x:v>#N/A</x:v>
      </x:c>
      <x:c r="C91" s="94" t="e">
        <x:f>IF('Dashboard'!$C$7="Yes",'Parity Gaps'!D29,NA())</x:f>
        <x:v>#N/A</x:v>
      </x:c>
      <x:c r="D91" s="94" t="e">
        <x:f>IF('Dashboard'!$C$8="Yes",'Parity Gaps'!E29,NA())</x:f>
        <x:v>#N/A</x:v>
      </x:c>
      <x:c r="E91" s="94" t="n">
        <x:f>IF('Dashboard'!$C$9="Yes",'Parity Gaps'!F29,NA())</x:f>
        <x:v>0</x:v>
      </x:c>
      <x:c r="F91" s="94" t="e">
        <x:f>IF('Dashboard'!$C$10="Yes",'Parity Gaps'!G29,NA())</x:f>
        <x:v>#N/A</x:v>
      </x:c>
      <x:c r="G91" s="94" t="e">
        <x:f>IF('Dashboard'!$C$11="Yes",'Parity Gaps'!H29,NA())</x:f>
        <x:v>#N/A</x:v>
      </x:c>
      <x:c r="H91" s="94" t="e">
        <x:f>IF('Dashboard'!$C$12="Yes",'Parity Gaps'!I29,NA())</x:f>
        <x:v>#N/A</x:v>
      </x:c>
      <x:c r="I91" s="94" t="e">
        <x:f>IF('Dashboard'!$C$13="Yes",'Parity Gaps'!J29,NA())</x:f>
        <x:v>#N/A</x:v>
      </x:c>
      <x:c r="J91" s="94" t="e">
        <x:f>IF('Dashboard'!$C$14="Yes",'Parity Gaps'!K29,NA())</x:f>
        <x:v>#N/A</x:v>
      </x:c>
      <x:c r="K91" s="94" t="e">
        <x:f>IF('Dashboard'!$C$15="Yes",'Parity Gaps'!L29,NA())</x:f>
        <x:v>#N/A</x:v>
      </x:c>
      <x:c r="L91" s="94" t="e">
        <x:f>IF('Dashboard'!$C$16="Yes",'Parity Gaps'!M29,NA())</x:f>
        <x:v>#N/A</x:v>
      </x:c>
      <x:c r="M91" s="94" t="n">
        <x:f>IF('Dashboard'!$C$17="Yes",'Parity Gaps'!N29,NA())</x:f>
        <x:v>0.3050742278278946</x:v>
      </x:c>
      <x:c r="N91" s="94" t="e">
        <x:f>IF('Dashboard'!$C$18="Yes",'Parity Gaps'!O29,NA())</x:f>
        <x:v>#N/A</x:v>
      </x:c>
      <x:c r="O91" s="94" t="e">
        <x:f>IF('Dashboard'!$C$19="Yes",'Parity Gaps'!P29,NA())</x:f>
        <x:v>#N/A</x:v>
      </x:c>
      <x:c r="P91" s="94" t="e">
        <x:f>IF('Dashboard'!$C$20="Yes",'Parity Gaps'!Q29,NA())</x:f>
        <x:v>#N/A</x:v>
      </x:c>
      <x:c r="Q91" s="94" t="e">
        <x:f>IF('Dashboard'!$C$21="Yes",'Parity Gaps'!R29,NA())</x:f>
        <x:v>#N/A</x:v>
      </x:c>
      <x:c r="R91" s="203" t="n">
        <x:f>0</x:f>
        <x:v>0</x:v>
      </x:c>
    </x:row>
    <x:row r="92">
      <x:c r="A92" s="45" t="n">
        <x:f>'Parity Gaps'!A30</x:f>
        <x:v>2025</x:v>
      </x:c>
      <x:c r="B92" s="94" t="e">
        <x:f>IF('Dashboard'!$C$6="Yes",'Parity Gaps'!C30,NA())</x:f>
        <x:v>#N/A</x:v>
      </x:c>
      <x:c r="C92" s="94" t="e">
        <x:f>IF('Dashboard'!$C$7="Yes",'Parity Gaps'!D30,NA())</x:f>
        <x:v>#N/A</x:v>
      </x:c>
      <x:c r="D92" s="94" t="e">
        <x:f>IF('Dashboard'!$C$8="Yes",'Parity Gaps'!E30,NA())</x:f>
        <x:v>#N/A</x:v>
      </x:c>
      <x:c r="E92" s="94" t="n">
        <x:f>IF('Dashboard'!$C$9="Yes",'Parity Gaps'!F30,NA())</x:f>
        <x:v>0</x:v>
      </x:c>
      <x:c r="F92" s="94" t="e">
        <x:f>IF('Dashboard'!$C$10="Yes",'Parity Gaps'!G30,NA())</x:f>
        <x:v>#N/A</x:v>
      </x:c>
      <x:c r="G92" s="94" t="e">
        <x:f>IF('Dashboard'!$C$11="Yes",'Parity Gaps'!H30,NA())</x:f>
        <x:v>#N/A</x:v>
      </x:c>
      <x:c r="H92" s="94" t="e">
        <x:f>IF('Dashboard'!$C$12="Yes",'Parity Gaps'!I30,NA())</x:f>
        <x:v>#N/A</x:v>
      </x:c>
      <x:c r="I92" s="94" t="e">
        <x:f>IF('Dashboard'!$C$13="Yes",'Parity Gaps'!J30,NA())</x:f>
        <x:v>#N/A</x:v>
      </x:c>
      <x:c r="J92" s="94" t="e">
        <x:f>IF('Dashboard'!$C$14="Yes",'Parity Gaps'!K30,NA())</x:f>
        <x:v>#N/A</x:v>
      </x:c>
      <x:c r="K92" s="94" t="e">
        <x:f>IF('Dashboard'!$C$15="Yes",'Parity Gaps'!L30,NA())</x:f>
        <x:v>#N/A</x:v>
      </x:c>
      <x:c r="L92" s="94" t="e">
        <x:f>IF('Dashboard'!$C$16="Yes",'Parity Gaps'!M30,NA())</x:f>
        <x:v>#N/A</x:v>
      </x:c>
      <x:c r="M92" s="94" t="n">
        <x:f>IF('Dashboard'!$C$17="Yes",'Parity Gaps'!N30,NA())</x:f>
        <x:v>0.3333787587037662</x:v>
      </x:c>
      <x:c r="N92" s="94" t="e">
        <x:f>IF('Dashboard'!$C$18="Yes",'Parity Gaps'!O30,NA())</x:f>
        <x:v>#N/A</x:v>
      </x:c>
      <x:c r="O92" s="94" t="e">
        <x:f>IF('Dashboard'!$C$19="Yes",'Parity Gaps'!P30,NA())</x:f>
        <x:v>#N/A</x:v>
      </x:c>
      <x:c r="P92" s="94" t="e">
        <x:f>IF('Dashboard'!$C$20="Yes",'Parity Gaps'!Q30,NA())</x:f>
        <x:v>#N/A</x:v>
      </x:c>
      <x:c r="Q92" s="94" t="e">
        <x:f>IF('Dashboard'!$C$21="Yes",'Parity Gaps'!R30,NA())</x:f>
        <x:v>#N/A</x:v>
      </x:c>
      <x:c r="R92" s="203" t="n">
        <x:f>0</x:f>
        <x:v>0</x:v>
      </x:c>
    </x:row>
    <x:row r="93">
      <x:c r="A93" s="45" t="n">
        <x:f>'Parity Gaps'!A31</x:f>
        <x:v>2026</x:v>
      </x:c>
      <x:c r="B93" s="94" t="e">
        <x:f>IF('Dashboard'!$C$6="Yes",'Parity Gaps'!C31,NA())</x:f>
        <x:v>#N/A</x:v>
      </x:c>
      <x:c r="C93" s="94" t="e">
        <x:f>IF('Dashboard'!$C$7="Yes",'Parity Gaps'!D31,NA())</x:f>
        <x:v>#N/A</x:v>
      </x:c>
      <x:c r="D93" s="94" t="e">
        <x:f>IF('Dashboard'!$C$8="Yes",'Parity Gaps'!E31,NA())</x:f>
        <x:v>#N/A</x:v>
      </x:c>
      <x:c r="E93" s="94" t="n">
        <x:f>IF('Dashboard'!$C$9="Yes",'Parity Gaps'!F31,NA())</x:f>
        <x:v>0</x:v>
      </x:c>
      <x:c r="F93" s="94" t="e">
        <x:f>IF('Dashboard'!$C$10="Yes",'Parity Gaps'!G31,NA())</x:f>
        <x:v>#N/A</x:v>
      </x:c>
      <x:c r="G93" s="94" t="e">
        <x:f>IF('Dashboard'!$C$11="Yes",'Parity Gaps'!H31,NA())</x:f>
        <x:v>#N/A</x:v>
      </x:c>
      <x:c r="H93" s="94" t="e">
        <x:f>IF('Dashboard'!$C$12="Yes",'Parity Gaps'!I31,NA())</x:f>
        <x:v>#N/A</x:v>
      </x:c>
      <x:c r="I93" s="94" t="e">
        <x:f>IF('Dashboard'!$C$13="Yes",'Parity Gaps'!J31,NA())</x:f>
        <x:v>#N/A</x:v>
      </x:c>
      <x:c r="J93" s="94" t="e">
        <x:f>IF('Dashboard'!$C$14="Yes",'Parity Gaps'!K31,NA())</x:f>
        <x:v>#N/A</x:v>
      </x:c>
      <x:c r="K93" s="94" t="e">
        <x:f>IF('Dashboard'!$C$15="Yes",'Parity Gaps'!L31,NA())</x:f>
        <x:v>#N/A</x:v>
      </x:c>
      <x:c r="L93" s="94" t="e">
        <x:f>IF('Dashboard'!$C$16="Yes",'Parity Gaps'!M31,NA())</x:f>
        <x:v>#N/A</x:v>
      </x:c>
      <x:c r="M93" s="94" t="n">
        <x:f>IF('Dashboard'!$C$17="Yes",'Parity Gaps'!N31,NA())</x:f>
        <x:v>0.35904650987860753</x:v>
      </x:c>
      <x:c r="N93" s="94" t="e">
        <x:f>IF('Dashboard'!$C$18="Yes",'Parity Gaps'!O31,NA())</x:f>
        <x:v>#N/A</x:v>
      </x:c>
      <x:c r="O93" s="94" t="e">
        <x:f>IF('Dashboard'!$C$19="Yes",'Parity Gaps'!P31,NA())</x:f>
        <x:v>#N/A</x:v>
      </x:c>
      <x:c r="P93" s="94" t="e">
        <x:f>IF('Dashboard'!$C$20="Yes",'Parity Gaps'!Q31,NA())</x:f>
        <x:v>#N/A</x:v>
      </x:c>
      <x:c r="Q93" s="94" t="e">
        <x:f>IF('Dashboard'!$C$21="Yes",'Parity Gaps'!R31,NA())</x:f>
        <x:v>#N/A</x:v>
      </x:c>
      <x:c r="R93" s="203" t="n">
        <x:f>0</x:f>
        <x:v>0</x:v>
      </x:c>
    </x:row>
    <x:row r="94">
      <x:c r="A94" s="45" t="str">
        <x:f>'Parity Gaps'!A32</x:f>
        <x:v>2027F</x:v>
      </x:c>
      <x:c r="B94" s="94" t="e">
        <x:f>IF('Dashboard'!$C$6="Yes",'Parity Gaps'!C32,NA())</x:f>
        <x:v>#N/A</x:v>
      </x:c>
      <x:c r="C94" s="94" t="e">
        <x:f>IF('Dashboard'!$C$7="Yes",'Parity Gaps'!D32,NA())</x:f>
        <x:v>#N/A</x:v>
      </x:c>
      <x:c r="D94" s="94" t="e">
        <x:f>IF('Dashboard'!$C$8="Yes",'Parity Gaps'!E32,NA())</x:f>
        <x:v>#N/A</x:v>
      </x:c>
      <x:c r="E94" s="94" t="n">
        <x:f>IF('Dashboard'!$C$9="Yes",'Parity Gaps'!F32,NA())</x:f>
        <x:v>0</x:v>
      </x:c>
      <x:c r="F94" s="94" t="e">
        <x:f>IF('Dashboard'!$C$10="Yes",'Parity Gaps'!G32,NA())</x:f>
        <x:v>#N/A</x:v>
      </x:c>
      <x:c r="G94" s="94" t="e">
        <x:f>IF('Dashboard'!$C$11="Yes",'Parity Gaps'!H32,NA())</x:f>
        <x:v>#N/A</x:v>
      </x:c>
      <x:c r="H94" s="94" t="e">
        <x:f>IF('Dashboard'!$C$12="Yes",'Parity Gaps'!I32,NA())</x:f>
        <x:v>#N/A</x:v>
      </x:c>
      <x:c r="I94" s="94" t="e">
        <x:f>IF('Dashboard'!$C$13="Yes",'Parity Gaps'!J32,NA())</x:f>
        <x:v>#N/A</x:v>
      </x:c>
      <x:c r="J94" s="94" t="e">
        <x:f>IF('Dashboard'!$C$14="Yes",'Parity Gaps'!K32,NA())</x:f>
        <x:v>#N/A</x:v>
      </x:c>
      <x:c r="K94" s="94" t="e">
        <x:f>IF('Dashboard'!$C$15="Yes",'Parity Gaps'!L32,NA())</x:f>
        <x:v>#N/A</x:v>
      </x:c>
      <x:c r="L94" s="94" t="e">
        <x:f>IF('Dashboard'!$C$16="Yes",'Parity Gaps'!M32,NA())</x:f>
        <x:v>#N/A</x:v>
      </x:c>
      <x:c r="M94" s="94" t="n">
        <x:f>IF('Dashboard'!$C$17="Yes",'Parity Gaps'!N32,NA())</x:f>
        <x:v>0.41545184543824454</x:v>
      </x:c>
      <x:c r="N94" s="94" t="e">
        <x:f>IF('Dashboard'!$C$18="Yes",'Parity Gaps'!O32,NA())</x:f>
        <x:v>#N/A</x:v>
      </x:c>
      <x:c r="O94" s="94" t="e">
        <x:f>IF('Dashboard'!$C$19="Yes",'Parity Gaps'!P32,NA())</x:f>
        <x:v>#N/A</x:v>
      </x:c>
      <x:c r="P94" s="94" t="e">
        <x:f>IF('Dashboard'!$C$20="Yes",'Parity Gaps'!Q32,NA())</x:f>
        <x:v>#N/A</x:v>
      </x:c>
      <x:c r="Q94" s="94" t="e">
        <x:f>IF('Dashboard'!$C$21="Yes",'Parity Gaps'!R32,NA())</x:f>
        <x:v>#N/A</x:v>
      </x:c>
      <x:c r="R94" s="203" t="n">
        <x:f>0</x:f>
        <x:v>0</x:v>
      </x:c>
    </x:row>
  </x:sheetData>
  <x:mergeCells>
    <x:mergeCell ref="A1:R1"/>
    <x:mergeCell ref="A2:R2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0" hidden="0" customWidth="1"/>
    <x:col min="3" max="3" width="15" hidden="0" customWidth="1"/>
    <x:col min="4" max="4" width="42" hidden="0" customWidth="1"/>
    <x:col min="5" max="5" width="15" hidden="0" customWidth="1"/>
    <x:col min="6" max="6" width="26" hidden="0" customWidth="1"/>
    <x:col min="7" max="7" width="15" hidden="0" customWidth="1"/>
    <x:col min="8" max="8" width="15" hidden="0" customWidth="1"/>
    <x:col min="9" max="9" width="25" hidden="0" customWidth="1"/>
    <x:col min="10" max="10" width="18" hidden="0" customWidth="1"/>
    <x:col min="11" max="11" width="15" hidden="0" customWidth="1"/>
    <x:col min="12" max="12" width="15" hidden="0" customWidth="1"/>
    <x:col min="13" max="13" width="15" hidden="0" customWidth="1"/>
    <x:col min="14" max="14" width="15" hidden="0" customWidth="1"/>
    <x:col min="15" max="15" width="15" hidden="0" customWidth="1"/>
    <x:col min="16" max="16" width="15" hidden="0" customWidth="1"/>
  </x:cols>
  <x:sheetData>
    <x:row r="1" ht="32" customHeight="1">
      <x:c r="A1" s="486" t="str">
        <x:v>Social Security Treatment: GS and Military Compensation</x:v>
      </x:c>
      <x:c r="B1" s="486"/>
      <x:c r="C1" s="486"/>
      <x:c r="D1" s="486"/>
      <x:c r="E1" s="486"/>
      <x:c r="F1" s="486"/>
      <x:c r="G1" s="486"/>
      <x:c r="H1" s="486"/>
      <x:c r="I1" s="486"/>
      <x:c r="J1" s="486"/>
      <x:c r="K1" s="486"/>
      <x:c r="L1" s="486"/>
      <x:c r="M1" s="486"/>
      <x:c r="N1" s="486"/>
      <x:c r="O1" s="486"/>
      <x:c r="P1" s="486"/>
    </x:row>
    <x:row r="2" ht="38" customHeight="1">
      <x:c r="A2" s="487" t="str">
        <x:v>Employee OASDI is applied to covered earnings up to the annual taxable maximum. GS salary is covered; for military members, basic pay is covered while BAH and BAS are excluded.</x:v>
      </x:c>
      <x:c r="B2" s="487"/>
      <x:c r="C2" s="487"/>
      <x:c r="D2" s="487"/>
      <x:c r="E2" s="487"/>
      <x:c r="F2" s="487"/>
      <x:c r="G2" s="487"/>
      <x:c r="H2" s="487"/>
      <x:c r="I2" s="487"/>
      <x:c r="J2" s="487"/>
      <x:c r="K2" s="487"/>
      <x:c r="L2" s="487"/>
      <x:c r="M2" s="487"/>
      <x:c r="N2" s="487"/>
      <x:c r="O2" s="487"/>
      <x:c r="P2" s="487"/>
    </x:row>
    <x:row r="3">
      <x:c r="A3" s="308"/>
      <x:c r="B3" s="308"/>
      <x:c r="C3" s="308"/>
      <x:c r="D3" s="308"/>
      <x:c r="E3" s="308"/>
      <x:c r="F3" s="308"/>
      <x:c r="G3" s="308"/>
      <x:c r="H3" s="308"/>
      <x:c r="I3" s="308"/>
      <x:c r="J3" s="308"/>
      <x:c r="K3" s="308"/>
      <x:c r="L3" s="308"/>
      <x:c r="M3" s="308"/>
      <x:c r="N3" s="308"/>
      <x:c r="O3" s="308"/>
      <x:c r="P3" s="308"/>
    </x:row>
    <x:row r="4" ht="42" customHeight="1">
      <x:c r="A4" s="488" t="str">
        <x:v>Plain-language takeaway: the military does pay Social Security tax. Its recurring allowance advantage is that BAH and BAS are outside Social Security covered earnings. The wage-base cap can also reduce tax for higher-paid GS employees.</x:v>
      </x:c>
      <x:c r="B4" s="489"/>
      <x:c r="C4" s="489"/>
      <x:c r="D4" s="489"/>
      <x:c r="E4" s="489"/>
      <x:c r="F4" s="489"/>
      <x:c r="G4" s="489"/>
      <x:c r="H4" s="489"/>
      <x:c r="I4" s="489"/>
      <x:c r="J4" s="489"/>
      <x:c r="K4" s="489"/>
      <x:c r="L4" s="489"/>
      <x:c r="M4" s="489"/>
      <x:c r="N4" s="489"/>
      <x:c r="O4" s="489"/>
      <x:c r="P4" s="490"/>
    </x:row>
    <x:row r="5">
      <x:c r="A5" s="308"/>
      <x:c r="B5" s="308"/>
      <x:c r="C5" s="308"/>
      <x:c r="D5" s="308"/>
      <x:c r="E5" s="308"/>
      <x:c r="F5" s="308"/>
      <x:c r="G5" s="308"/>
      <x:c r="H5" s="308"/>
      <x:c r="I5" s="308"/>
      <x:c r="J5" s="308"/>
      <x:c r="K5" s="308"/>
      <x:c r="L5" s="308"/>
      <x:c r="M5" s="308"/>
      <x:c r="N5" s="308"/>
      <x:c r="O5" s="308"/>
      <x:c r="P5" s="308"/>
    </x:row>
    <x:row r="6" ht="24" customHeight="1">
      <x:c r="A6" s="491" t="str">
        <x:v>Source</x:v>
      </x:c>
      <x:c r="B6" s="491" t="str">
        <x:v>Agency</x:v>
      </x:c>
      <x:c r="C6" s="491" t="str">
        <x:v>What it supports</x:v>
      </x:c>
      <x:c r="D6" s="491" t="str">
        <x:v>Official URL</x:v>
      </x:c>
      <x:c r="E6" s="308"/>
      <x:c r="F6" s="492" t="str">
        <x:v>2026 cap example: GS-15 step 10, Rest of U.S.</x:v>
      </x:c>
      <x:c r="G6" s="492"/>
      <x:c r="H6" s="492"/>
      <x:c r="I6" s="492"/>
      <x:c r="J6" s="492"/>
      <x:c r="K6" s="308"/>
      <x:c r="L6" s="308"/>
      <x:c r="M6" s="308"/>
      <x:c r="N6" s="308"/>
      <x:c r="O6" s="308"/>
      <x:c r="P6" s="308"/>
    </x:row>
    <x:row r="7" ht="50" customHeight="1">
      <x:c r="A7" s="493" t="str">
        <x:v>OASDI taxable maximum</x:v>
      </x:c>
      <x:c r="B7" s="493" t="str">
        <x:v>Social Security Administration</x:v>
      </x:c>
      <x:c r="C7" s="493" t="str">
        <x:v>Historical annual wage bases through 2026</x:v>
      </x:c>
      <x:c r="D7" s="493" t="str">
        <x:v>https://www.ssa.gov/oact/cola/cbb.html</x:v>
      </x:c>
      <x:c r="E7" s="308"/>
      <x:c r="F7" s="494" t="str">
        <x:v>Published salary</x:v>
      </x:c>
      <x:c r="G7" s="495" t="n">
        <x:f>'GS Source'!T31</x:f>
        <x:v>192331</x:v>
      </x:c>
      <x:c r="H7" s="308"/>
      <x:c r="I7" s="496" t="str">
        <x:v>Interpretation</x:v>
      </x:c>
      <x:c r="J7" s="493" t="str">
        <x:v>Result</x:v>
      </x:c>
      <x:c r="K7" s="308"/>
      <x:c r="L7" s="308"/>
      <x:c r="M7" s="308"/>
      <x:c r="N7" s="308"/>
      <x:c r="O7" s="308"/>
      <x:c r="P7" s="308"/>
    </x:row>
    <x:row r="8" ht="50" customHeight="1">
      <x:c r="A8" s="493" t="str">
        <x:v>Employee OASDI rates</x:v>
      </x:c>
      <x:c r="B8" s="493" t="str">
        <x:v>Social Security Administration</x:v>
      </x:c>
      <x:c r="C8" s="493" t="str">
        <x:v>6.2% generally; temporary 4.2% rate in 2011–2012</x:v>
      </x:c>
      <x:c r="D8" s="493" t="str">
        <x:v>https://www.ssa.gov/oact/progdata/taxRates.html</x:v>
      </x:c>
      <x:c r="E8" s="308"/>
      <x:c r="F8" s="494" t="str">
        <x:v>2026 taxable maximum</x:v>
      </x:c>
      <x:c r="G8" s="495" t="n">
        <x:v>184500</x:v>
      </x:c>
      <x:c r="H8" s="308"/>
      <x:c r="I8" s="496" t="str">
        <x:v>All salary is modeled as covered earnings</x:v>
      </x:c>
      <x:c r="J8" s="493" t="str">
        <x:v>Yes</x:v>
      </x:c>
      <x:c r="K8" s="308"/>
      <x:c r="L8" s="308"/>
      <x:c r="M8" s="308"/>
      <x:c r="N8" s="308"/>
      <x:c r="O8" s="308"/>
      <x:c r="P8" s="308"/>
    </x:row>
    <x:row r="9" ht="50" customHeight="1">
      <x:c r="A9" s="493" t="str">
        <x:v>Military tax-exempt allowances</x:v>
      </x:c>
      <x:c r="B9" s="493" t="str">
        <x:v>Department of Defense</x:v>
      </x:c>
      <x:c r="C9" s="493" t="str">
        <x:v>BAH and BAS are excluded from Social Security tax</x:v>
      </x:c>
      <x:c r="D9" s="493" t="str">
        <x:v>https://militarypay.defense.gov/Pay/Tax-Information/Exempt/</x:v>
      </x:c>
      <x:c r="E9" s="308"/>
      <x:c r="F9" s="494" t="str">
        <x:v>Salary above the maximum</x:v>
      </x:c>
      <x:c r="G9" s="495" t="n">
        <x:f>MAX(0,G7-G8)</x:f>
        <x:v>7831</x:v>
      </x:c>
      <x:c r="H9" s="308"/>
      <x:c r="I9" s="496" t="str">
        <x:v>Employee rate</x:v>
      </x:c>
      <x:c r="J9" s="497" t="n">
        <x:v>0.062</x:v>
      </x:c>
      <x:c r="K9" s="308"/>
      <x:c r="L9" s="308"/>
      <x:c r="M9" s="308"/>
      <x:c r="N9" s="308"/>
      <x:c r="O9" s="308"/>
      <x:c r="P9" s="308"/>
    </x:row>
    <x:row r="10" ht="50" customHeight="1">
      <x:c r="A10" s="493" t="str">
        <x:v>2027F taxable maximum</x:v>
      </x:c>
      <x:c r="B10" s="493" t="str">
        <x:v>Social Security Administration</x:v>
      </x:c>
      <x:c r="C10" s="493" t="str">
        <x:v>Model forecast from the 2026 Trustees Report intermediate AWI projection</x:v>
      </x:c>
      <x:c r="D10" s="493" t="str">
        <x:v>https://www.ssa.gov/OACT/TR/2026/VI_G_EstDollars.html</x:v>
      </x:c>
      <x:c r="E10" s="308"/>
      <x:c r="F10" s="494" t="str">
        <x:v>Tax avoided because of cap</x:v>
      </x:c>
      <x:c r="G10" s="495" t="n">
        <x:f>G9*6.2%</x:f>
        <x:v>485.522</x:v>
      </x:c>
      <x:c r="H10" s="308"/>
      <x:c r="I10" s="496" t="str">
        <x:v>Cap benefit versus uncapped tax</x:v>
      </x:c>
      <x:c r="J10" s="493" t="str">
        <x:v>About $486</x:v>
      </x:c>
      <x:c r="K10" s="308"/>
      <x:c r="L10" s="308"/>
      <x:c r="M10" s="308"/>
      <x:c r="N10" s="308"/>
      <x:c r="O10" s="308"/>
      <x:c r="P10" s="308"/>
    </x:row>
    <x:row r="11">
      <x:c r="A11" s="308"/>
      <x:c r="B11" s="308"/>
      <x:c r="C11" s="308"/>
      <x:c r="D11" s="308"/>
      <x:c r="E11" s="308"/>
      <x:c r="F11" s="308"/>
      <x:c r="G11" s="308"/>
      <x:c r="H11" s="308"/>
      <x:c r="I11" s="308"/>
      <x:c r="J11" s="308"/>
      <x:c r="K11" s="308"/>
      <x:c r="L11" s="308"/>
      <x:c r="M11" s="308"/>
      <x:c r="N11" s="308"/>
      <x:c r="O11" s="308"/>
      <x:c r="P11" s="308"/>
    </x:row>
    <x:row r="12">
      <x:c r="A12" s="308"/>
      <x:c r="B12" s="308"/>
      <x:c r="C12" s="308"/>
      <x:c r="D12" s="308"/>
      <x:c r="E12" s="308"/>
      <x:c r="F12" s="308"/>
      <x:c r="G12" s="308"/>
      <x:c r="H12" s="308"/>
      <x:c r="I12" s="308"/>
      <x:c r="J12" s="308"/>
      <x:c r="K12" s="308"/>
      <x:c r="L12" s="308"/>
      <x:c r="M12" s="308"/>
      <x:c r="N12" s="308"/>
      <x:c r="O12" s="308"/>
      <x:c r="P12" s="308"/>
    </x:row>
    <x:row r="13">
      <x:c r="A13" s="308"/>
      <x:c r="B13" s="308"/>
      <x:c r="C13" s="308"/>
      <x:c r="D13" s="308"/>
      <x:c r="E13" s="308"/>
      <x:c r="F13" s="308"/>
      <x:c r="G13" s="308"/>
      <x:c r="H13" s="308"/>
      <x:c r="I13" s="308"/>
      <x:c r="J13" s="308"/>
      <x:c r="K13" s="308"/>
      <x:c r="L13" s="308"/>
      <x:c r="M13" s="308"/>
      <x:c r="N13" s="308"/>
      <x:c r="O13" s="308"/>
      <x:c r="P13" s="308"/>
    </x:row>
    <x:row r="14">
      <x:c r="A14" s="308"/>
      <x:c r="B14" s="308"/>
      <x:c r="C14" s="308"/>
      <x:c r="D14" s="308"/>
      <x:c r="E14" s="308"/>
      <x:c r="F14" s="308"/>
      <x:c r="G14" s="308"/>
      <x:c r="H14" s="308"/>
      <x:c r="I14" s="308"/>
      <x:c r="J14" s="308"/>
      <x:c r="K14" s="308"/>
      <x:c r="L14" s="308"/>
      <x:c r="M14" s="308"/>
      <x:c r="N14" s="308"/>
      <x:c r="O14" s="308"/>
      <x:c r="P14" s="308"/>
    </x:row>
    <x:row r="15" ht="44" customHeight="1">
      <x:c r="A15" s="498" t="str">
        <x:v>Year</x:v>
      </x:c>
      <x:c r="B15" s="498" t="str">
        <x:v>Status</x:v>
      </x:c>
      <x:c r="C15" s="498" t="str">
        <x:v>Employee OASDI Rate</x:v>
      </x:c>
      <x:c r="D15" s="498" t="str">
        <x:v>Taxable Maximum</x:v>
      </x:c>
      <x:c r="E15" s="498" t="str">
        <x:v>GS-12/1 Gross</x:v>
      </x:c>
      <x:c r="F15" s="498" t="str">
        <x:v>GS-12/1 After FERS</x:v>
      </x:c>
      <x:c r="G15" s="498" t="str">
        <x:v>GS-12/1 Social Security</x:v>
      </x:c>
      <x:c r="H15" s="498" t="str">
        <x:v>GS-12/1 After FERS + SS</x:v>
      </x:c>
      <x:c r="I15" s="498" t="str">
        <x:v>GS-15/10 Gross</x:v>
      </x:c>
      <x:c r="J15" s="498" t="str">
        <x:v>GS-15/10 Social Security</x:v>
      </x:c>
      <x:c r="K15" s="498" t="str">
        <x:v>GS-15/10 Above Wage Base</x:v>
      </x:c>
      <x:c r="L15" s="498" t="str">
        <x:v>GS-15/10 Cap Benefit</x:v>
      </x:c>
      <x:c r="M15" s="498" t="str">
        <x:v>O-3 Basic Pay</x:v>
      </x:c>
      <x:c r="N15" s="498" t="str">
        <x:v>O-3 Total Compensation</x:v>
      </x:c>
      <x:c r="O15" s="498" t="str">
        <x:v>O-3 Social Security</x:v>
      </x:c>
      <x:c r="P15" s="498" t="str">
        <x:v>O-3 Total After SS</x:v>
      </x:c>
    </x:row>
    <x:row r="16" ht="21" customHeight="1">
      <x:c r="A16" s="320" t="n">
        <x:v>2001</x:v>
      </x:c>
      <x:c r="B16" s="321" t="str">
        <x:v>Actual</x:v>
      </x:c>
      <x:c r="C16" s="322" t="n">
        <x:v>0.062</x:v>
      </x:c>
      <x:c r="D16" s="323" t="n">
        <x:v>80400</x:v>
      </x:c>
      <x:c r="E16" s="323" t="n">
        <x:f>'GS Source'!J6</x:f>
        <x:v>51927</x:v>
      </x:c>
      <x:c r="F16" s="323" t="n">
        <x:f>'GS Source'!K6</x:f>
        <x:v>51511.584</x:v>
      </x:c>
      <x:c r="G16" s="323" t="n">
        <x:f>MIN(E16,D16)*C16</x:f>
        <x:v>3219.474</x:v>
      </x:c>
      <x:c r="H16" s="323" t="n">
        <x:f>F16-G16</x:f>
        <x:v>48292.11</x:v>
      </x:c>
      <x:c r="I16" s="323" t="n">
        <x:f>'GS Source'!T6</x:f>
        <x:v>111581</x:v>
      </x:c>
      <x:c r="J16" s="323" t="n">
        <x:f>MIN(I16,D16)*C16</x:f>
        <x:v>4984.8</x:v>
      </x:c>
      <x:c r="K16" s="323" t="n">
        <x:f>MAX(0,I16-D16)</x:f>
        <x:v>31181</x:v>
      </x:c>
      <x:c r="L16" s="323" t="n">
        <x:f>K16*C16</x:f>
        <x:v>1933.222</x:v>
      </x:c>
      <x:c r="M16" s="323" t="n">
        <x:f>'Military Detail'!G8</x:f>
        <x:v>43876.8</x:v>
      </x:c>
      <x:c r="N16" s="323" t="n">
        <x:f>'Military Detail'!M8</x:f>
        <x:v>56025.840000000004</x:v>
      </x:c>
      <x:c r="O16" s="323" t="n">
        <x:f>MIN(M16,D16)*C16</x:f>
        <x:v>2720.3616</x:v>
      </x:c>
      <x:c r="P16" s="324" t="n">
        <x:f>N16-O16</x:f>
        <x:v>53305.47840000001</x:v>
      </x:c>
    </x:row>
    <x:row r="17" ht="21" customHeight="1">
      <x:c r="A17" s="325" t="n">
        <x:v>2002</x:v>
      </x:c>
      <x:c r="B17" s="326" t="str">
        <x:v>Actual</x:v>
      </x:c>
      <x:c r="C17" s="327" t="n">
        <x:v>0.062</x:v>
      </x:c>
      <x:c r="D17" s="328" t="n">
        <x:v>84900</x:v>
      </x:c>
      <x:c r="E17" s="328" t="n">
        <x:f>'GS Source'!J7</x:f>
        <x:v>54275</x:v>
      </x:c>
      <x:c r="F17" s="328" t="n">
        <x:f>'GS Source'!K7</x:f>
        <x:v>53840.8</x:v>
      </x:c>
      <x:c r="G17" s="328" t="n">
        <x:f>MIN(E17,D17)*C17</x:f>
        <x:v>3365.05</x:v>
      </x:c>
      <x:c r="H17" s="328" t="n">
        <x:f>F17-G17</x:f>
        <x:v>50475.75</x:v>
      </x:c>
      <x:c r="I17" s="328" t="n">
        <x:f>'GS Source'!T7</x:f>
        <x:v>116633</x:v>
      </x:c>
      <x:c r="J17" s="328" t="n">
        <x:f>MIN(I17,D17)*C17</x:f>
        <x:v>5263.8</x:v>
      </x:c>
      <x:c r="K17" s="328" t="n">
        <x:f>MAX(0,I17-D17)</x:f>
        <x:v>31733</x:v>
      </x:c>
      <x:c r="L17" s="328" t="n">
        <x:f>K17*C17</x:f>
        <x:v>1967.446</x:v>
      </x:c>
      <x:c r="M17" s="328" t="n">
        <x:f>'Military Detail'!G14</x:f>
        <x:v>46508.399999999994</x:v>
      </x:c>
      <x:c r="N17" s="328" t="n">
        <x:f>'Military Detail'!M14</x:f>
        <x:v>58860.84</x:v>
      </x:c>
      <x:c r="O17" s="328" t="n">
        <x:f>MIN(M17,D17)*C17</x:f>
        <x:v>2883.5208</x:v>
      </x:c>
      <x:c r="P17" s="329" t="n">
        <x:f>N17-O17</x:f>
        <x:v>55977.3192</x:v>
      </x:c>
    </x:row>
    <x:row r="18" ht="21" customHeight="1">
      <x:c r="A18" s="325" t="n">
        <x:v>2003</x:v>
      </x:c>
      <x:c r="B18" s="326" t="str">
        <x:v>Actual</x:v>
      </x:c>
      <x:c r="C18" s="327" t="n">
        <x:v>0.062</x:v>
      </x:c>
      <x:c r="D18" s="328" t="n">
        <x:v>87000</x:v>
      </x:c>
      <x:c r="E18" s="328" t="n">
        <x:f>'GS Source'!J8</x:f>
        <x:v>56463</x:v>
      </x:c>
      <x:c r="F18" s="328" t="n">
        <x:f>'GS Source'!K8</x:f>
        <x:v>56011.296</x:v>
      </x:c>
      <x:c r="G18" s="328" t="n">
        <x:f>MIN(E18,D18)*C18</x:f>
        <x:v>3500.706</x:v>
      </x:c>
      <x:c r="H18" s="328" t="n">
        <x:f>F18-G18</x:f>
        <x:v>52510.590000000004</x:v>
      </x:c>
      <x:c r="I18" s="328" t="n">
        <x:f>'GS Source'!T8</x:f>
        <x:v>121330</x:v>
      </x:c>
      <x:c r="J18" s="328" t="n">
        <x:f>MIN(I18,D18)*C18</x:f>
        <x:v>5394</x:v>
      </x:c>
      <x:c r="K18" s="328" t="n">
        <x:f>MAX(0,I18-D18)</x:f>
        <x:v>34330</x:v>
      </x:c>
      <x:c r="L18" s="328" t="n">
        <x:f>K18*C18</x:f>
        <x:v>2128.46</x:v>
      </x:c>
      <x:c r="M18" s="328" t="n">
        <x:f>'Military Detail'!G20</x:f>
        <x:v>48834</x:v>
      </x:c>
      <x:c r="N18" s="328" t="n">
        <x:f>'Military Detail'!M20</x:f>
        <x:v>61304.4</x:v>
      </x:c>
      <x:c r="O18" s="328" t="n">
        <x:f>MIN(M18,D18)*C18</x:f>
        <x:v>3027.708</x:v>
      </x:c>
      <x:c r="P18" s="329" t="n">
        <x:f>N18-O18</x:f>
        <x:v>58276.692</x:v>
      </x:c>
    </x:row>
    <x:row r="19" ht="21" customHeight="1">
      <x:c r="A19" s="325" t="n">
        <x:v>2004</x:v>
      </x:c>
      <x:c r="B19" s="326" t="str">
        <x:v>Actual</x:v>
      </x:c>
      <x:c r="C19" s="327" t="n">
        <x:v>0.062</x:v>
      </x:c>
      <x:c r="D19" s="328" t="n">
        <x:v>87900</x:v>
      </x:c>
      <x:c r="E19" s="328" t="n">
        <x:f>'GS Source'!J9</x:f>
        <x:v>58665</x:v>
      </x:c>
      <x:c r="F19" s="328" t="n">
        <x:f>'GS Source'!K9</x:f>
        <x:v>58195.68</x:v>
      </x:c>
      <x:c r="G19" s="328" t="n">
        <x:f>MIN(E19,D19)*C19</x:f>
        <x:v>3637.23</x:v>
      </x:c>
      <x:c r="H19" s="328" t="n">
        <x:f>F19-G19</x:f>
        <x:v>54558.45</x:v>
      </x:c>
      <x:c r="I19" s="328" t="n">
        <x:f>'GS Source'!T9</x:f>
        <x:v>126064</x:v>
      </x:c>
      <x:c r="J19" s="328" t="n">
        <x:f>MIN(I19,D19)*C19</x:f>
        <x:v>5449.8</x:v>
      </x:c>
      <x:c r="K19" s="328" t="n">
        <x:f>MAX(0,I19-D19)</x:f>
        <x:v>38164</x:v>
      </x:c>
      <x:c r="L19" s="328" t="n">
        <x:f>K19*C19</x:f>
        <x:v>2366.168</x:v>
      </x:c>
      <x:c r="M19" s="328" t="n">
        <x:f>'Military Detail'!G26</x:f>
        <x:v>50641.200000000004</x:v>
      </x:c>
      <x:c r="N19" s="328" t="n">
        <x:f>'Military Detail'!M26</x:f>
        <x:v>63675.96000000001</x:v>
      </x:c>
      <x:c r="O19" s="328" t="n">
        <x:f>MIN(M19,D19)*C19</x:f>
        <x:v>3139.7544000000003</x:v>
      </x:c>
      <x:c r="P19" s="329" t="n">
        <x:f>N19-O19</x:f>
        <x:v>60536.20560000001</x:v>
      </x:c>
    </x:row>
    <x:row r="20" ht="21" customHeight="1">
      <x:c r="A20" s="325" t="n">
        <x:v>2005</x:v>
      </x:c>
      <x:c r="B20" s="326" t="str">
        <x:v>Actual</x:v>
      </x:c>
      <x:c r="C20" s="327" t="n">
        <x:v>0.062</x:v>
      </x:c>
      <x:c r="D20" s="328" t="n">
        <x:v>90000</x:v>
      </x:c>
      <x:c r="E20" s="328" t="n">
        <x:f>'GS Source'!J10</x:f>
        <x:v>60576</x:v>
      </x:c>
      <x:c r="F20" s="328" t="n">
        <x:f>'GS Source'!K10</x:f>
        <x:v>60091.392</x:v>
      </x:c>
      <x:c r="G20" s="328" t="n">
        <x:f>MIN(E20,D20)*C20</x:f>
        <x:v>3755.712</x:v>
      </x:c>
      <x:c r="H20" s="328" t="n">
        <x:f>F20-G20</x:f>
        <x:v>56335.68</x:v>
      </x:c>
      <x:c r="I20" s="328" t="n">
        <x:f>'GS Source'!T10</x:f>
        <x:v>130173</x:v>
      </x:c>
      <x:c r="J20" s="328" t="n">
        <x:f>MIN(I20,D20)*C20</x:f>
        <x:v>5580</x:v>
      </x:c>
      <x:c r="K20" s="328" t="n">
        <x:f>MAX(0,I20-D20)</x:f>
        <x:v>40173</x:v>
      </x:c>
      <x:c r="L20" s="328" t="n">
        <x:f>K20*C20</x:f>
        <x:v>2490.726</x:v>
      </x:c>
      <x:c r="M20" s="328" t="n">
        <x:f>'Military Detail'!G32</x:f>
        <x:v>52412.399999999994</x:v>
      </x:c>
      <x:c r="N20" s="328" t="n">
        <x:f>'Military Detail'!M32</x:f>
        <x:v>66968.28</x:v>
      </x:c>
      <x:c r="O20" s="328" t="n">
        <x:f>MIN(M20,D20)*C20</x:f>
        <x:v>3249.5687999999996</x:v>
      </x:c>
      <x:c r="P20" s="329" t="n">
        <x:f>N20-O20</x:f>
        <x:v>63718.7112</x:v>
      </x:c>
    </x:row>
    <x:row r="21" ht="21" customHeight="1">
      <x:c r="A21" s="325" t="n">
        <x:v>2006</x:v>
      </x:c>
      <x:c r="B21" s="326" t="str">
        <x:v>Actual</x:v>
      </x:c>
      <x:c r="C21" s="327" t="n">
        <x:v>0.062</x:v>
      </x:c>
      <x:c r="D21" s="328" t="n">
        <x:v>94200</x:v>
      </x:c>
      <x:c r="E21" s="328" t="n">
        <x:f>'GS Source'!J11</x:f>
        <x:v>62291</x:v>
      </x:c>
      <x:c r="F21" s="328" t="n">
        <x:f>'GS Source'!K11</x:f>
        <x:v>61792.672</x:v>
      </x:c>
      <x:c r="G21" s="328" t="n">
        <x:f>MIN(E21,D21)*C21</x:f>
        <x:v>3862.042</x:v>
      </x:c>
      <x:c r="H21" s="328" t="n">
        <x:f>F21-G21</x:f>
        <x:v>57930.63</x:v>
      </x:c>
      <x:c r="I21" s="328" t="n">
        <x:f>'GS Source'!T11</x:f>
        <x:v>133850</x:v>
      </x:c>
      <x:c r="J21" s="328" t="n">
        <x:f>MIN(I21,D21)*C21</x:f>
        <x:v>5840.4</x:v>
      </x:c>
      <x:c r="K21" s="328" t="n">
        <x:f>MAX(0,I21-D21)</x:f>
        <x:v>39650</x:v>
      </x:c>
      <x:c r="L21" s="328" t="n">
        <x:f>K21*C21</x:f>
        <x:v>2458.3</x:v>
      </x:c>
      <x:c r="M21" s="328" t="n">
        <x:f>'Military Detail'!G38</x:f>
        <x:v>54036</x:v>
      </x:c>
      <x:c r="N21" s="328" t="n">
        <x:f>'Military Detail'!M38</x:f>
        <x:v>69341.88</x:v>
      </x:c>
      <x:c r="O21" s="328" t="n">
        <x:f>MIN(M21,D21)*C21</x:f>
        <x:v>3350.232</x:v>
      </x:c>
      <x:c r="P21" s="329" t="n">
        <x:f>N21-O21</x:f>
        <x:v>65991.648</x:v>
      </x:c>
    </x:row>
    <x:row r="22" ht="21" customHeight="1">
      <x:c r="A22" s="325" t="n">
        <x:v>2007</x:v>
      </x:c>
      <x:c r="B22" s="326" t="str">
        <x:v>Actual</x:v>
      </x:c>
      <x:c r="C22" s="327" t="n">
        <x:v>0.062</x:v>
      </x:c>
      <x:c r="D22" s="328" t="n">
        <x:v>97500</x:v>
      </x:c>
      <x:c r="E22" s="328" t="n">
        <x:f>'GS Source'!J12</x:f>
        <x:v>63417</x:v>
      </x:c>
      <x:c r="F22" s="328" t="n">
        <x:f>'GS Source'!K12</x:f>
        <x:v>62909.664</x:v>
      </x:c>
      <x:c r="G22" s="328" t="n">
        <x:f>MIN(E22,D22)*C22</x:f>
        <x:v>3931.854</x:v>
      </x:c>
      <x:c r="H22" s="328" t="n">
        <x:f>F22-G22</x:f>
        <x:v>58977.81</x:v>
      </x:c>
      <x:c r="I22" s="328" t="n">
        <x:f>'GS Source'!T12</x:f>
        <x:v>136273</x:v>
      </x:c>
      <x:c r="J22" s="328" t="n">
        <x:f>MIN(I22,D22)*C22</x:f>
        <x:v>6045</x:v>
      </x:c>
      <x:c r="K22" s="328" t="n">
        <x:f>MAX(0,I22-D22)</x:f>
        <x:v>38773</x:v>
      </x:c>
      <x:c r="L22" s="328" t="n">
        <x:f>K22*C22</x:f>
        <x:v>2403.926</x:v>
      </x:c>
      <x:c r="M22" s="328" t="n">
        <x:f>'Military Detail'!G44</x:f>
        <x:v>55224</x:v>
      </x:c>
      <x:c r="N22" s="328" t="n">
        <x:f>'Military Detail'!M44</x:f>
        <x:v>70304.88</x:v>
      </x:c>
      <x:c r="O22" s="328" t="n">
        <x:f>MIN(M22,D22)*C22</x:f>
        <x:v>3423.888</x:v>
      </x:c>
      <x:c r="P22" s="329" t="n">
        <x:f>N22-O22</x:f>
        <x:v>66880.992</x:v>
      </x:c>
    </x:row>
    <x:row r="23" ht="21" customHeight="1">
      <x:c r="A23" s="325" t="n">
        <x:v>2008</x:v>
      </x:c>
      <x:c r="B23" s="326" t="str">
        <x:v>Actual</x:v>
      </x:c>
      <x:c r="C23" s="327" t="n">
        <x:v>0.062</x:v>
      </x:c>
      <x:c r="D23" s="328" t="n">
        <x:v>102000</x:v>
      </x:c>
      <x:c r="E23" s="328" t="n">
        <x:f>'GS Source'!J13</x:f>
        <x:v>65315</x:v>
      </x:c>
      <x:c r="F23" s="328" t="n">
        <x:f>'GS Source'!K13</x:f>
        <x:v>64792.479999999996</x:v>
      </x:c>
      <x:c r="G23" s="328" t="n">
        <x:f>MIN(E23,D23)*C23</x:f>
        <x:v>4049.5299999999997</x:v>
      </x:c>
      <x:c r="H23" s="328" t="n">
        <x:f>F23-G23</x:f>
        <x:v>60742.95</x:v>
      </x:c>
      <x:c r="I23" s="328" t="n">
        <x:f>'GS Source'!T13</x:f>
        <x:v>140355</x:v>
      </x:c>
      <x:c r="J23" s="328" t="n">
        <x:f>MIN(I23,D23)*C23</x:f>
        <x:v>6324</x:v>
      </x:c>
      <x:c r="K23" s="328" t="n">
        <x:f>MAX(0,I23-D23)</x:f>
        <x:v>38355</x:v>
      </x:c>
      <x:c r="L23" s="328" t="n">
        <x:f>K23*C23</x:f>
        <x:v>2378.0099999999998</x:v>
      </x:c>
      <x:c r="M23" s="328" t="n">
        <x:f>'Military Detail'!G50</x:f>
        <x:v>57157.200000000004</x:v>
      </x:c>
      <x:c r="N23" s="328" t="n">
        <x:f>'Military Detail'!M50</x:f>
        <x:v>74242.08000000002</x:v>
      </x:c>
      <x:c r="O23" s="328" t="n">
        <x:f>MIN(M23,D23)*C23</x:f>
        <x:v>3543.7464000000004</x:v>
      </x:c>
      <x:c r="P23" s="329" t="n">
        <x:f>N23-O23</x:f>
        <x:v>70698.33360000001</x:v>
      </x:c>
    </x:row>
    <x:row r="24" ht="21" customHeight="1">
      <x:c r="A24" s="325" t="n">
        <x:v>2009</x:v>
      </x:c>
      <x:c r="B24" s="326" t="str">
        <x:v>Actual</x:v>
      </x:c>
      <x:c r="C24" s="327" t="n">
        <x:v>0.062</x:v>
      </x:c>
      <x:c r="D24" s="328" t="n">
        <x:v>106800</x:v>
      </x:c>
      <x:c r="E24" s="328" t="n">
        <x:f>'GS Source'!J14</x:f>
        <x:v>67613</x:v>
      </x:c>
      <x:c r="F24" s="328" t="n">
        <x:f>'GS Source'!K14</x:f>
        <x:v>67072.096</x:v>
      </x:c>
      <x:c r="G24" s="328" t="n">
        <x:f>MIN(E24,D24)*C24</x:f>
        <x:v>4192.006</x:v>
      </x:c>
      <x:c r="H24" s="328" t="n">
        <x:f>F24-G24</x:f>
        <x:v>62880.090000000004</x:v>
      </x:c>
      <x:c r="I24" s="328" t="n">
        <x:f>'GS Source'!T14</x:f>
        <x:v>145290</x:v>
      </x:c>
      <x:c r="J24" s="328" t="n">
        <x:f>MIN(I24,D24)*C24</x:f>
        <x:v>6621.6</x:v>
      </x:c>
      <x:c r="K24" s="328" t="n">
        <x:f>MAX(0,I24-D24)</x:f>
        <x:v>38490</x:v>
      </x:c>
      <x:c r="L24" s="328" t="n">
        <x:f>K24*C24</x:f>
        <x:v>2386.38</x:v>
      </x:c>
      <x:c r="M24" s="328" t="n">
        <x:f>'Military Detail'!G56</x:f>
        <x:v>59385.600000000006</x:v>
      </x:c>
      <x:c r="N24" s="328" t="n">
        <x:f>'Military Detail'!M56</x:f>
        <x:v>78646.08</x:v>
      </x:c>
      <x:c r="O24" s="328" t="n">
        <x:f>MIN(M24,D24)*C24</x:f>
        <x:v>3681.9072000000006</x:v>
      </x:c>
      <x:c r="P24" s="329" t="n">
        <x:f>N24-O24</x:f>
        <x:v>74964.1728</x:v>
      </x:c>
    </x:row>
    <x:row r="25" ht="21" customHeight="1">
      <x:c r="A25" s="325" t="n">
        <x:v>2010</x:v>
      </x:c>
      <x:c r="B25" s="326" t="str">
        <x:v>Actual</x:v>
      </x:c>
      <x:c r="C25" s="327" t="n">
        <x:v>0.062</x:v>
      </x:c>
      <x:c r="D25" s="328" t="n">
        <x:v>106800</x:v>
      </x:c>
      <x:c r="E25" s="328" t="n">
        <x:f>'GS Source'!J15</x:f>
        <x:v>68809</x:v>
      </x:c>
      <x:c r="F25" s="328" t="n">
        <x:f>'GS Source'!K15</x:f>
        <x:v>68258.528</x:v>
      </x:c>
      <x:c r="G25" s="328" t="n">
        <x:f>MIN(E25,D25)*C25</x:f>
        <x:v>4266.158</x:v>
      </x:c>
      <x:c r="H25" s="328" t="n">
        <x:f>F25-G25</x:f>
        <x:v>63992.37</x:v>
      </x:c>
      <x:c r="I25" s="328" t="n">
        <x:f>'GS Source'!T15</x:f>
        <x:v>147857</x:v>
      </x:c>
      <x:c r="J25" s="328" t="n">
        <x:f>MIN(I25,D25)*C25</x:f>
        <x:v>6621.6</x:v>
      </x:c>
      <x:c r="K25" s="328" t="n">
        <x:f>MAX(0,I25-D25)</x:f>
        <x:v>41057</x:v>
      </x:c>
      <x:c r="L25" s="328" t="n">
        <x:f>K25*C25</x:f>
        <x:v>2545.534</x:v>
      </x:c>
      <x:c r="M25" s="328" t="n">
        <x:f>'Military Detail'!G62</x:f>
        <x:v>61405.200000000004</x:v>
      </x:c>
      <x:c r="N25" s="328" t="n">
        <x:f>'Military Detail'!M62</x:f>
        <x:v>79237.68000000001</x:v>
      </x:c>
      <x:c r="O25" s="328" t="n">
        <x:f>MIN(M25,D25)*C25</x:f>
        <x:v>3807.1224</x:v>
      </x:c>
      <x:c r="P25" s="329" t="n">
        <x:f>N25-O25</x:f>
        <x:v>75430.5576</x:v>
      </x:c>
    </x:row>
    <x:row r="26" ht="21" customHeight="1">
      <x:c r="A26" s="325" t="n">
        <x:v>2011</x:v>
      </x:c>
      <x:c r="B26" s="326" t="str">
        <x:v>Actual</x:v>
      </x:c>
      <x:c r="C26" s="327" t="n">
        <x:v>0.042</x:v>
      </x:c>
      <x:c r="D26" s="328" t="n">
        <x:v>106800</x:v>
      </x:c>
      <x:c r="E26" s="328" t="n">
        <x:f>'GS Source'!J16</x:f>
        <x:v>68809</x:v>
      </x:c>
      <x:c r="F26" s="328" t="n">
        <x:f>'GS Source'!K16</x:f>
        <x:v>68258.528</x:v>
      </x:c>
      <x:c r="G26" s="328" t="n">
        <x:f>MIN(E26,D26)*C26</x:f>
        <x:v>2889.978</x:v>
      </x:c>
      <x:c r="H26" s="328" t="n">
        <x:f>F26-G26</x:f>
        <x:v>65368.55</x:v>
      </x:c>
      <x:c r="I26" s="328" t="n">
        <x:f>'GS Source'!T16</x:f>
        <x:v>147857</x:v>
      </x:c>
      <x:c r="J26" s="328" t="n">
        <x:f>MIN(I26,D26)*C26</x:f>
        <x:v>4485.6</x:v>
      </x:c>
      <x:c r="K26" s="328" t="n">
        <x:f>MAX(0,I26-D26)</x:f>
        <x:v>41057</x:v>
      </x:c>
      <x:c r="L26" s="328" t="n">
        <x:f>K26*C26</x:f>
        <x:v>1724.394</x:v>
      </x:c>
      <x:c r="M26" s="328" t="n">
        <x:f>'Military Detail'!G68</x:f>
        <x:v>62265.600000000006</x:v>
      </x:c>
      <x:c r="N26" s="328" t="n">
        <x:f>'Military Detail'!M68</x:f>
        <x:v>81475.68000000001</x:v>
      </x:c>
      <x:c r="O26" s="328" t="n">
        <x:f>MIN(M26,D26)*C26</x:f>
        <x:v>2615.1552000000006</x:v>
      </x:c>
      <x:c r="P26" s="329" t="n">
        <x:f>N26-O26</x:f>
        <x:v>78860.52480000001</x:v>
      </x:c>
    </x:row>
    <x:row r="27" ht="21" customHeight="1">
      <x:c r="A27" s="325" t="n">
        <x:v>2012</x:v>
      </x:c>
      <x:c r="B27" s="326" t="str">
        <x:v>Actual</x:v>
      </x:c>
      <x:c r="C27" s="327" t="n">
        <x:v>0.042</x:v>
      </x:c>
      <x:c r="D27" s="328" t="n">
        <x:v>110100</x:v>
      </x:c>
      <x:c r="E27" s="328" t="n">
        <x:f>'GS Source'!J17</x:f>
        <x:v>68809</x:v>
      </x:c>
      <x:c r="F27" s="328" t="n">
        <x:f>'GS Source'!K17</x:f>
        <x:v>68258.528</x:v>
      </x:c>
      <x:c r="G27" s="328" t="n">
        <x:f>MIN(E27,D27)*C27</x:f>
        <x:v>2889.978</x:v>
      </x:c>
      <x:c r="H27" s="328" t="n">
        <x:f>F27-G27</x:f>
        <x:v>65368.55</x:v>
      </x:c>
      <x:c r="I27" s="328" t="n">
        <x:f>'GS Source'!T17</x:f>
        <x:v>147857</x:v>
      </x:c>
      <x:c r="J27" s="328" t="n">
        <x:f>MIN(I27,D27)*C27</x:f>
        <x:v>4624.200000000001</x:v>
      </x:c>
      <x:c r="K27" s="328" t="n">
        <x:f>MAX(0,I27-D27)</x:f>
        <x:v>37757</x:v>
      </x:c>
      <x:c r="L27" s="328" t="n">
        <x:f>K27*C27</x:f>
        <x:v>1585.794</x:v>
      </x:c>
      <x:c r="M27" s="328" t="n">
        <x:f>'Military Detail'!G74</x:f>
        <x:v>63262.799999999996</x:v>
      </x:c>
      <x:c r="N27" s="328" t="n">
        <x:f>'Military Detail'!M74</x:f>
        <x:v>83386.31999999999</x:v>
      </x:c>
      <x:c r="O27" s="328" t="n">
        <x:f>MIN(M27,D27)*C27</x:f>
        <x:v>2657.0376</x:v>
      </x:c>
      <x:c r="P27" s="329" t="n">
        <x:f>N27-O27</x:f>
        <x:v>80729.2824</x:v>
      </x:c>
    </x:row>
    <x:row r="28" ht="21" customHeight="1">
      <x:c r="A28" s="325" t="n">
        <x:v>2013</x:v>
      </x:c>
      <x:c r="B28" s="326" t="str">
        <x:v>Actual</x:v>
      </x:c>
      <x:c r="C28" s="327" t="n">
        <x:v>0.062</x:v>
      </x:c>
      <x:c r="D28" s="328" t="n">
        <x:v>113700</x:v>
      </x:c>
      <x:c r="E28" s="328" t="n">
        <x:f>'GS Source'!J18</x:f>
        <x:v>68809</x:v>
      </x:c>
      <x:c r="F28" s="328" t="n">
        <x:f>'GS Source'!K18</x:f>
        <x:v>66675.921</x:v>
      </x:c>
      <x:c r="G28" s="328" t="n">
        <x:f>MIN(E28,D28)*C28</x:f>
        <x:v>4266.158</x:v>
      </x:c>
      <x:c r="H28" s="328" t="n">
        <x:f>F28-G28</x:f>
        <x:v>62409.763</x:v>
      </x:c>
      <x:c r="I28" s="328" t="n">
        <x:f>'GS Source'!T18</x:f>
        <x:v>147857</x:v>
      </x:c>
      <x:c r="J28" s="328" t="n">
        <x:f>MIN(I28,D28)*C28</x:f>
        <x:v>7049.4</x:v>
      </x:c>
      <x:c r="K28" s="328" t="n">
        <x:f>MAX(0,I28-D28)</x:f>
        <x:v>34157</x:v>
      </x:c>
      <x:c r="L28" s="328" t="n">
        <x:f>K28*C28</x:f>
        <x:v>2117.734</x:v>
      </x:c>
      <x:c r="M28" s="328" t="n">
        <x:f>'Military Detail'!G80</x:f>
        <x:v>64339.200000000004</x:v>
      </x:c>
      <x:c r="N28" s="328" t="n">
        <x:f>'Military Detail'!M80</x:f>
        <x:v>84314.40000000001</x:v>
      </x:c>
      <x:c r="O28" s="328" t="n">
        <x:f>MIN(M28,D28)*C28</x:f>
        <x:v>3989.0304</x:v>
      </x:c>
      <x:c r="P28" s="329" t="n">
        <x:f>N28-O28</x:f>
        <x:v>80325.3696</x:v>
      </x:c>
    </x:row>
    <x:row r="29" ht="21" customHeight="1">
      <x:c r="A29" s="325" t="n">
        <x:v>2014</x:v>
      </x:c>
      <x:c r="B29" s="326" t="str">
        <x:v>Actual</x:v>
      </x:c>
      <x:c r="C29" s="327" t="n">
        <x:v>0.062</x:v>
      </x:c>
      <x:c r="D29" s="328" t="n">
        <x:v>117000</x:v>
      </x:c>
      <x:c r="E29" s="328" t="n">
        <x:f>'GS Source'!J19</x:f>
        <x:v>69497</x:v>
      </x:c>
      <x:c r="F29" s="328" t="n">
        <x:f>'GS Source'!K19</x:f>
        <x:v>66439.132</x:v>
      </x:c>
      <x:c r="G29" s="328" t="n">
        <x:f>MIN(E29,D29)*C29</x:f>
        <x:v>4308.814</x:v>
      </x:c>
      <x:c r="H29" s="328" t="n">
        <x:f>F29-G29</x:f>
        <x:v>62130.318</x:v>
      </x:c>
      <x:c r="I29" s="328" t="n">
        <x:f>'GS Source'!T19</x:f>
        <x:v>149333</x:v>
      </x:c>
      <x:c r="J29" s="328" t="n">
        <x:f>MIN(I29,D29)*C29</x:f>
        <x:v>7254</x:v>
      </x:c>
      <x:c r="K29" s="328" t="n">
        <x:f>MAX(0,I29-D29)</x:f>
        <x:v>32333</x:v>
      </x:c>
      <x:c r="L29" s="328" t="n">
        <x:f>K29*C29</x:f>
        <x:v>2004.646</x:v>
      </x:c>
      <x:c r="M29" s="328" t="n">
        <x:f>'Military Detail'!G86</x:f>
        <x:v>64983.600000000006</x:v>
      </x:c>
      <x:c r="N29" s="328" t="n">
        <x:f>'Military Detail'!M86</x:f>
        <x:v>85614.48000000001</x:v>
      </x:c>
      <x:c r="O29" s="328" t="n">
        <x:f>MIN(M29,D29)*C29</x:f>
        <x:v>4028.9832</x:v>
      </x:c>
      <x:c r="P29" s="329" t="n">
        <x:f>N29-O29</x:f>
        <x:v>81585.49680000001</x:v>
      </x:c>
    </x:row>
    <x:row r="30" ht="21" customHeight="1">
      <x:c r="A30" s="325" t="n">
        <x:v>2015</x:v>
      </x:c>
      <x:c r="B30" s="326" t="str">
        <x:v>Actual</x:v>
      </x:c>
      <x:c r="C30" s="327" t="n">
        <x:v>0.062</x:v>
      </x:c>
      <x:c r="D30" s="328" t="n">
        <x:v>118500</x:v>
      </x:c>
      <x:c r="E30" s="328" t="n">
        <x:f>'GS Source'!J20</x:f>
        <x:v>70192</x:v>
      </x:c>
      <x:c r="F30" s="328" t="n">
        <x:f>'GS Source'!K20</x:f>
        <x:v>67103.552</x:v>
      </x:c>
      <x:c r="G30" s="328" t="n">
        <x:f>MIN(E30,D30)*C30</x:f>
        <x:v>4351.9039999999995</x:v>
      </x:c>
      <x:c r="H30" s="328" t="n">
        <x:f>F30-G30</x:f>
        <x:v>62751.647999999994</x:v>
      </x:c>
      <x:c r="I30" s="328" t="n">
        <x:f>'GS Source'!T20</x:f>
        <x:v>150830</x:v>
      </x:c>
      <x:c r="J30" s="328" t="n">
        <x:f>MIN(I30,D30)*C30</x:f>
        <x:v>7347</x:v>
      </x:c>
      <x:c r="K30" s="328" t="n">
        <x:f>MAX(0,I30-D30)</x:f>
        <x:v>32330</x:v>
      </x:c>
      <x:c r="L30" s="328" t="n">
        <x:f>K30*C30</x:f>
        <x:v>2004.46</x:v>
      </x:c>
      <x:c r="M30" s="328" t="n">
        <x:f>'Military Detail'!G92</x:f>
        <x:v>65635.20000000001</x:v>
      </x:c>
      <x:c r="N30" s="328" t="n">
        <x:f>'Military Detail'!M92</x:f>
        <x:v>85055.76000000001</x:v>
      </x:c>
      <x:c r="O30" s="328" t="n">
        <x:f>MIN(M30,D30)*C30</x:f>
        <x:v>4069.382400000001</x:v>
      </x:c>
      <x:c r="P30" s="329" t="n">
        <x:f>N30-O30</x:f>
        <x:v>80986.3776</x:v>
      </x:c>
    </x:row>
    <x:row r="31" ht="21" customHeight="1">
      <x:c r="A31" s="325" t="n">
        <x:v>2016</x:v>
      </x:c>
      <x:c r="B31" s="326" t="str">
        <x:v>Actual</x:v>
      </x:c>
      <x:c r="C31" s="327" t="n">
        <x:v>0.062</x:v>
      </x:c>
      <x:c r="D31" s="328" t="n">
        <x:v>118500</x:v>
      </x:c>
      <x:c r="E31" s="328" t="n">
        <x:f>'GS Source'!J21</x:f>
        <x:v>71012</x:v>
      </x:c>
      <x:c r="F31" s="328" t="n">
        <x:f>'GS Source'!K21</x:f>
        <x:v>67887.472</x:v>
      </x:c>
      <x:c r="G31" s="328" t="n">
        <x:f>MIN(E31,D31)*C31</x:f>
        <x:v>4402.744</x:v>
      </x:c>
      <x:c r="H31" s="328" t="n">
        <x:f>F31-G31</x:f>
        <x:v>63484.727999999996</x:v>
      </x:c>
      <x:c r="I31" s="328" t="n">
        <x:f>'GS Source'!T21</x:f>
        <x:v>152593</x:v>
      </x:c>
      <x:c r="J31" s="328" t="n">
        <x:f>MIN(I31,D31)*C31</x:f>
        <x:v>7347</x:v>
      </x:c>
      <x:c r="K31" s="328" t="n">
        <x:f>MAX(0,I31-D31)</x:f>
        <x:v>34093</x:v>
      </x:c>
      <x:c r="L31" s="328" t="n">
        <x:f>K31*C31</x:f>
        <x:v>2113.766</x:v>
      </x:c>
      <x:c r="M31" s="328" t="n">
        <x:f>'Military Detail'!G98</x:f>
        <x:v>66488.4</x:v>
      </x:c>
      <x:c r="N31" s="328" t="n">
        <x:f>'Military Detail'!M98</x:f>
        <x:v>86739.95999999999</x:v>
      </x:c>
      <x:c r="O31" s="328" t="n">
        <x:f>MIN(M31,D31)*C31</x:f>
        <x:v>4122.2807999999995</x:v>
      </x:c>
      <x:c r="P31" s="329" t="n">
        <x:f>N31-O31</x:f>
        <x:v>82617.6792</x:v>
      </x:c>
    </x:row>
    <x:row r="32" ht="21" customHeight="1">
      <x:c r="A32" s="325" t="n">
        <x:v>2017</x:v>
      </x:c>
      <x:c r="B32" s="326" t="str">
        <x:v>Actual</x:v>
      </x:c>
      <x:c r="C32" s="327" t="n">
        <x:v>0.062</x:v>
      </x:c>
      <x:c r="D32" s="328" t="n">
        <x:v>127200</x:v>
      </x:c>
      <x:c r="E32" s="328" t="n">
        <x:f>'GS Source'!J22</x:f>
        <x:v>72168</x:v>
      </x:c>
      <x:c r="F32" s="328" t="n">
        <x:f>'GS Source'!K22</x:f>
        <x:v>68992.608</x:v>
      </x:c>
      <x:c r="G32" s="328" t="n">
        <x:f>MIN(E32,D32)*C32</x:f>
        <x:v>4474.416</x:v>
      </x:c>
      <x:c r="H32" s="328" t="n">
        <x:f>F32-G32</x:f>
        <x:v>64518.191999999995</x:v>
      </x:c>
      <x:c r="I32" s="328" t="n">
        <x:f>'GS Source'!T22</x:f>
        <x:v>155073</x:v>
      </x:c>
      <x:c r="J32" s="328" t="n">
        <x:f>MIN(I32,D32)*C32</x:f>
        <x:v>7886.4</x:v>
      </x:c>
      <x:c r="K32" s="328" t="n">
        <x:f>MAX(0,I32-D32)</x:f>
        <x:v>27873</x:v>
      </x:c>
      <x:c r="L32" s="328" t="n">
        <x:f>K32*C32</x:f>
        <x:v>1728.126</x:v>
      </x:c>
      <x:c r="M32" s="328" t="n">
        <x:f>'Military Detail'!G104</x:f>
        <x:v>67885.20000000001</x:v>
      </x:c>
      <x:c r="N32" s="328" t="n">
        <x:f>'Military Detail'!M104</x:f>
        <x:v>88712.76000000001</x:v>
      </x:c>
      <x:c r="O32" s="328" t="n">
        <x:f>MIN(M32,D32)*C32</x:f>
        <x:v>4208.8824</x:v>
      </x:c>
      <x:c r="P32" s="329" t="n">
        <x:f>N32-O32</x:f>
        <x:v>84503.8776</x:v>
      </x:c>
    </x:row>
    <x:row r="33" ht="21" customHeight="1">
      <x:c r="A33" s="325" t="n">
        <x:v>2018</x:v>
      </x:c>
      <x:c r="B33" s="326" t="str">
        <x:v>Actual</x:v>
      </x:c>
      <x:c r="C33" s="327" t="n">
        <x:v>0.062</x:v>
      </x:c>
      <x:c r="D33" s="328" t="n">
        <x:v>128400</x:v>
      </x:c>
      <x:c r="E33" s="328" t="n">
        <x:f>'GS Source'!J23</x:f>
        <x:v>73375</x:v>
      </x:c>
      <x:c r="F33" s="328" t="n">
        <x:f>'GS Source'!K23</x:f>
        <x:v>70146.5</x:v>
      </x:c>
      <x:c r="G33" s="328" t="n">
        <x:f>MIN(E33,D33)*C33</x:f>
        <x:v>4549.25</x:v>
      </x:c>
      <x:c r="H33" s="328" t="n">
        <x:f>F33-G33</x:f>
        <x:v>65597.25</x:v>
      </x:c>
      <x:c r="I33" s="328" t="n">
        <x:f>'GS Source'!T23</x:f>
        <x:v>157663</x:v>
      </x:c>
      <x:c r="J33" s="328" t="n">
        <x:f>MIN(I33,D33)*C33</x:f>
        <x:v>7960.8</x:v>
      </x:c>
      <x:c r="K33" s="328" t="n">
        <x:f>MAX(0,I33-D33)</x:f>
        <x:v>29263</x:v>
      </x:c>
      <x:c r="L33" s="328" t="n">
        <x:f>K33*C33</x:f>
        <x:v>1814.306</x:v>
      </x:c>
      <x:c r="M33" s="328" t="n">
        <x:f>'Military Detail'!G110</x:f>
        <x:v>69516</x:v>
      </x:c>
      <x:c r="N33" s="328" t="n">
        <x:f>'Military Detail'!M110</x:f>
        <x:v>91540.68</x:v>
      </x:c>
      <x:c r="O33" s="328" t="n">
        <x:f>MIN(M33,D33)*C33</x:f>
        <x:v>4309.992</x:v>
      </x:c>
      <x:c r="P33" s="329" t="n">
        <x:f>N33-O33</x:f>
        <x:v>87230.688</x:v>
      </x:c>
    </x:row>
    <x:row r="34" ht="21" customHeight="1">
      <x:c r="A34" s="325" t="n">
        <x:v>2019</x:v>
      </x:c>
      <x:c r="B34" s="326" t="str">
        <x:v>Actual</x:v>
      </x:c>
      <x:c r="C34" s="327" t="n">
        <x:v>0.062</x:v>
      </x:c>
      <x:c r="D34" s="328" t="n">
        <x:v>132900</x:v>
      </x:c>
      <x:c r="E34" s="328" t="n">
        <x:f>'GS Source'!J24</x:f>
        <x:v>74596</x:v>
      </x:c>
      <x:c r="F34" s="328" t="n">
        <x:f>'GS Source'!K24</x:f>
        <x:v>71313.776</x:v>
      </x:c>
      <x:c r="G34" s="328" t="n">
        <x:f>MIN(E34,D34)*C34</x:f>
        <x:v>4624.952</x:v>
      </x:c>
      <x:c r="H34" s="328" t="n">
        <x:f>F34-G34</x:f>
        <x:v>66688.824</x:v>
      </x:c>
      <x:c r="I34" s="328" t="n">
        <x:f>'GS Source'!T24</x:f>
        <x:v>160286</x:v>
      </x:c>
      <x:c r="J34" s="328" t="n">
        <x:f>MIN(I34,D34)*C34</x:f>
        <x:v>8239.8</x:v>
      </x:c>
      <x:c r="K34" s="328" t="n">
        <x:f>MAX(0,I34-D34)</x:f>
        <x:v>27386</x:v>
      </x:c>
      <x:c r="L34" s="328" t="n">
        <x:f>K34*C34</x:f>
        <x:v>1697.932</x:v>
      </x:c>
      <x:c r="M34" s="328" t="n">
        <x:f>'Military Detail'!G116</x:f>
        <x:v>71323.20000000001</x:v>
      </x:c>
      <x:c r="N34" s="328" t="n">
        <x:f>'Military Detail'!M116</x:f>
        <x:v>93779.88</x:v>
      </x:c>
      <x:c r="O34" s="328" t="n">
        <x:f>MIN(M34,D34)*C34</x:f>
        <x:v>4422.0384</x:v>
      </x:c>
      <x:c r="P34" s="329" t="n">
        <x:f>N34-O34</x:f>
        <x:v>89357.8416</x:v>
      </x:c>
    </x:row>
    <x:row r="35" ht="21" customHeight="1">
      <x:c r="A35" s="325" t="n">
        <x:v>2020</x:v>
      </x:c>
      <x:c r="B35" s="326" t="str">
        <x:v>Actual</x:v>
      </x:c>
      <x:c r="C35" s="327" t="n">
        <x:v>0.062</x:v>
      </x:c>
      <x:c r="D35" s="328" t="n">
        <x:v>137700</x:v>
      </x:c>
      <x:c r="E35" s="328" t="n">
        <x:f>'GS Source'!J25</x:f>
        <x:v>76721</x:v>
      </x:c>
      <x:c r="F35" s="328" t="n">
        <x:f>'GS Source'!K25</x:f>
        <x:v>73345.276</x:v>
      </x:c>
      <x:c r="G35" s="328" t="n">
        <x:f>MIN(E35,D35)*C35</x:f>
        <x:v>4756.702</x:v>
      </x:c>
      <x:c r="H35" s="328" t="n">
        <x:f>F35-G35</x:f>
        <x:v>68588.574</x:v>
      </x:c>
      <x:c r="I35" s="328" t="n">
        <x:f>'GS Source'!T25</x:f>
        <x:v>164858</x:v>
      </x:c>
      <x:c r="J35" s="328" t="n">
        <x:f>MIN(I35,D35)*C35</x:f>
        <x:v>8537.4</x:v>
      </x:c>
      <x:c r="K35" s="328" t="n">
        <x:f>MAX(0,I35-D35)</x:f>
        <x:v>27158</x:v>
      </x:c>
      <x:c r="L35" s="328" t="n">
        <x:f>K35*C35</x:f>
        <x:v>1683.796</x:v>
      </x:c>
      <x:c r="M35" s="328" t="n">
        <x:f>'Military Detail'!G122</x:f>
        <x:v>73533.6</x:v>
      </x:c>
      <x:c r="N35" s="328" t="n">
        <x:f>'Military Detail'!M122</x:f>
        <x:v>96413.76000000001</x:v>
      </x:c>
      <x:c r="O35" s="328" t="n">
        <x:f>MIN(M35,D35)*C35</x:f>
        <x:v>4559.0832</x:v>
      </x:c>
      <x:c r="P35" s="329" t="n">
        <x:f>N35-O35</x:f>
        <x:v>91854.67680000002</x:v>
      </x:c>
    </x:row>
    <x:row r="36" ht="21" customHeight="1">
      <x:c r="A36" s="325" t="n">
        <x:v>2021</x:v>
      </x:c>
      <x:c r="B36" s="326" t="str">
        <x:v>Actual</x:v>
      </x:c>
      <x:c r="C36" s="327" t="n">
        <x:v>0.062</x:v>
      </x:c>
      <x:c r="D36" s="328" t="n">
        <x:v>142800</x:v>
      </x:c>
      <x:c r="E36" s="328" t="n">
        <x:f>'GS Source'!J26</x:f>
        <x:v>77488</x:v>
      </x:c>
      <x:c r="F36" s="328" t="n">
        <x:f>'GS Source'!K26</x:f>
        <x:v>74078.52799999999</x:v>
      </x:c>
      <x:c r="G36" s="328" t="n">
        <x:f>MIN(E36,D36)*C36</x:f>
        <x:v>4804.256</x:v>
      </x:c>
      <x:c r="H36" s="328" t="n">
        <x:f>F36-G36</x:f>
        <x:v>69274.272</x:v>
      </x:c>
      <x:c r="I36" s="328" t="n">
        <x:f>'GS Source'!T26</x:f>
        <x:v>166502</x:v>
      </x:c>
      <x:c r="J36" s="328" t="n">
        <x:f>MIN(I36,D36)*C36</x:f>
        <x:v>8853.6</x:v>
      </x:c>
      <x:c r="K36" s="328" t="n">
        <x:f>MAX(0,I36-D36)</x:f>
        <x:v>23702</x:v>
      </x:c>
      <x:c r="L36" s="328" t="n">
        <x:f>K36*C36</x:f>
        <x:v>1469.524</x:v>
      </x:c>
      <x:c r="M36" s="328" t="n">
        <x:f>'Military Detail'!G128</x:f>
        <x:v>75740.4</x:v>
      </x:c>
      <x:c r="N36" s="328" t="n">
        <x:f>'Military Detail'!M128</x:f>
        <x:v>100318.56</x:v>
      </x:c>
      <x:c r="O36" s="328" t="n">
        <x:f>MIN(M36,D36)*C36</x:f>
        <x:v>4695.904799999999</x:v>
      </x:c>
      <x:c r="P36" s="329" t="n">
        <x:f>N36-O36</x:f>
        <x:v>95622.6552</x:v>
      </x:c>
    </x:row>
    <x:row r="37" ht="21" customHeight="1">
      <x:c r="A37" s="325" t="n">
        <x:v>2022</x:v>
      </x:c>
      <x:c r="B37" s="326" t="str">
        <x:v>Actual</x:v>
      </x:c>
      <x:c r="C37" s="327" t="n">
        <x:v>0.062</x:v>
      </x:c>
      <x:c r="D37" s="328" t="n">
        <x:v>147000</x:v>
      </x:c>
      <x:c r="E37" s="328" t="n">
        <x:f>'GS Source'!J27</x:f>
        <x:v>79363</x:v>
      </x:c>
      <x:c r="F37" s="328" t="n">
        <x:f>'GS Source'!K27</x:f>
        <x:v>75871.02799999999</x:v>
      </x:c>
      <x:c r="G37" s="328" t="n">
        <x:f>MIN(E37,D37)*C37</x:f>
        <x:v>4920.506</x:v>
      </x:c>
      <x:c r="H37" s="328" t="n">
        <x:f>F37-G37</x:f>
        <x:v>70950.522</x:v>
      </x:c>
      <x:c r="I37" s="328" t="n">
        <x:f>'GS Source'!T27</x:f>
        <x:v>170532</x:v>
      </x:c>
      <x:c r="J37" s="328" t="n">
        <x:f>MIN(I37,D37)*C37</x:f>
        <x:v>9114</x:v>
      </x:c>
      <x:c r="K37" s="328" t="n">
        <x:f>MAX(0,I37-D37)</x:f>
        <x:v>23532</x:v>
      </x:c>
      <x:c r="L37" s="328" t="n">
        <x:f>K37*C37</x:f>
        <x:v>1458.984</x:v>
      </x:c>
      <x:c r="M37" s="328" t="n">
        <x:f>'Military Detail'!G134</x:f>
        <x:v>77785.20000000001</x:v>
      </x:c>
      <x:c r="N37" s="328" t="n">
        <x:f>'Military Detail'!M134</x:f>
        <x:v>103828.68000000001</x:v>
      </x:c>
      <x:c r="O37" s="328" t="n">
        <x:f>MIN(M37,D37)*C37</x:f>
        <x:v>4822.682400000001</x:v>
      </x:c>
      <x:c r="P37" s="329" t="n">
        <x:f>N37-O37</x:f>
        <x:v>99005.9976</x:v>
      </x:c>
    </x:row>
    <x:row r="38" ht="21" customHeight="1">
      <x:c r="A38" s="325" t="n">
        <x:v>2023</x:v>
      </x:c>
      <x:c r="B38" s="326" t="str">
        <x:v>Actual</x:v>
      </x:c>
      <x:c r="C38" s="327" t="n">
        <x:v>0.062</x:v>
      </x:c>
      <x:c r="D38" s="328" t="n">
        <x:v>160200</x:v>
      </x:c>
      <x:c r="E38" s="328" t="n">
        <x:f>'GS Source'!J28</x:f>
        <x:v>82830</x:v>
      </x:c>
      <x:c r="F38" s="328" t="n">
        <x:f>'GS Source'!K28</x:f>
        <x:v>79185.48</x:v>
      </x:c>
      <x:c r="G38" s="328" t="n">
        <x:f>MIN(E38,D38)*C38</x:f>
        <x:v>5135.46</x:v>
      </x:c>
      <x:c r="H38" s="328" t="n">
        <x:f>F38-G38</x:f>
        <x:v>74050.01999999999</x:v>
      </x:c>
      <x:c r="I38" s="328" t="n">
        <x:f>'GS Source'!T28</x:f>
        <x:v>177978</x:v>
      </x:c>
      <x:c r="J38" s="328" t="n">
        <x:f>MIN(I38,D38)*C38</x:f>
        <x:v>9932.4</x:v>
      </x:c>
      <x:c r="K38" s="328" t="n">
        <x:f>MAX(0,I38-D38)</x:f>
        <x:v>17778</x:v>
      </x:c>
      <x:c r="L38" s="328" t="n">
        <x:f>K38*C38</x:f>
        <x:v>1102.236</x:v>
      </x:c>
      <x:c r="M38" s="328" t="n">
        <x:f>'Military Detail'!G140</x:f>
        <x:v>81363.6</x:v>
      </x:c>
      <x:c r="N38" s="328" t="n">
        <x:f>'Military Detail'!M140</x:f>
        <x:v>110339.76000000001</x:v>
      </x:c>
      <x:c r="O38" s="328" t="n">
        <x:f>MIN(M38,D38)*C38</x:f>
        <x:v>5044.5432</x:v>
      </x:c>
      <x:c r="P38" s="329" t="n">
        <x:f>N38-O38</x:f>
        <x:v>105295.21680000001</x:v>
      </x:c>
    </x:row>
    <x:row r="39" ht="21" customHeight="1">
      <x:c r="A39" s="325" t="n">
        <x:v>2024</x:v>
      </x:c>
      <x:c r="B39" s="326" t="str">
        <x:v>Actual</x:v>
      </x:c>
      <x:c r="C39" s="327" t="n">
        <x:v>0.062</x:v>
      </x:c>
      <x:c r="D39" s="328" t="n">
        <x:v>168600</x:v>
      </x:c>
      <x:c r="E39" s="328" t="n">
        <x:f>'GS Source'!J29</x:f>
        <x:v>86962</x:v>
      </x:c>
      <x:c r="F39" s="328" t="n">
        <x:f>'GS Source'!K29</x:f>
        <x:v>83135.67199999999</x:v>
      </x:c>
      <x:c r="G39" s="328" t="n">
        <x:f>MIN(E39,D39)*C39</x:f>
        <x:v>5391.644</x:v>
      </x:c>
      <x:c r="H39" s="328" t="n">
        <x:f>F39-G39</x:f>
        <x:v>77744.02799999999</x:v>
      </x:c>
      <x:c r="I39" s="328" t="n">
        <x:f>'GS Source'!T29</x:f>
        <x:v>186854</x:v>
      </x:c>
      <x:c r="J39" s="328" t="n">
        <x:f>MIN(I39,D39)*C39</x:f>
        <x:v>10453.2</x:v>
      </x:c>
      <x:c r="K39" s="328" t="n">
        <x:f>MAX(0,I39-D39)</x:f>
        <x:v>18254</x:v>
      </x:c>
      <x:c r="L39" s="328" t="n">
        <x:f>K39*C39</x:f>
        <x:v>1131.748</x:v>
      </x:c>
      <x:c r="M39" s="328" t="n">
        <x:f>'Military Detail'!G146</x:f>
        <x:v>85593.6</x:v>
      </x:c>
      <x:c r="N39" s="328" t="n">
        <x:f>'Military Detail'!M146</x:f>
        <x:v>116505.36</x:v>
      </x:c>
      <x:c r="O39" s="328" t="n">
        <x:f>MIN(M39,D39)*C39</x:f>
        <x:v>5306.8032</x:v>
      </x:c>
      <x:c r="P39" s="329" t="n">
        <x:f>N39-O39</x:f>
        <x:v>111198.5568</x:v>
      </x:c>
    </x:row>
    <x:row r="40" ht="21" customHeight="1">
      <x:c r="A40" s="325" t="n">
        <x:v>2025</x:v>
      </x:c>
      <x:c r="B40" s="326" t="str">
        <x:v>Actual</x:v>
      </x:c>
      <x:c r="C40" s="327" t="n">
        <x:v>0.062</x:v>
      </x:c>
      <x:c r="D40" s="328" t="n">
        <x:v>176100</x:v>
      </x:c>
      <x:c r="E40" s="328" t="n">
        <x:f>'GS Source'!J30</x:f>
        <x:v>88621</x:v>
      </x:c>
      <x:c r="F40" s="328" t="n">
        <x:f>'GS Source'!K30</x:f>
        <x:v>84721.67599999999</x:v>
      </x:c>
      <x:c r="G40" s="328" t="n">
        <x:f>MIN(E40,D40)*C40</x:f>
        <x:v>5494.502</x:v>
      </x:c>
      <x:c r="H40" s="328" t="n">
        <x:f>F40-G40</x:f>
        <x:v>79227.174</x:v>
      </x:c>
      <x:c r="I40" s="328" t="n">
        <x:f>'GS Source'!T30</x:f>
        <x:v>190424</x:v>
      </x:c>
      <x:c r="J40" s="328" t="n">
        <x:f>MIN(I40,D40)*C40</x:f>
        <x:v>10918.2</x:v>
      </x:c>
      <x:c r="K40" s="328" t="n">
        <x:f>MAX(0,I40-D40)</x:f>
        <x:v>14324</x:v>
      </x:c>
      <x:c r="L40" s="328" t="n">
        <x:f>K40*C40</x:f>
        <x:v>888.088</x:v>
      </x:c>
      <x:c r="M40" s="328" t="n">
        <x:f>'Military Detail'!G152</x:f>
        <x:v>89445.6</x:v>
      </x:c>
      <x:c r="N40" s="328" t="n">
        <x:f>'Military Detail'!M152</x:f>
        <x:v>121374.96</x:v>
      </x:c>
      <x:c r="O40" s="328" t="n">
        <x:f>MIN(M40,D40)*C40</x:f>
        <x:v>5545.6272</x:v>
      </x:c>
      <x:c r="P40" s="329" t="n">
        <x:f>N40-O40</x:f>
        <x:v>115829.3328</x:v>
      </x:c>
    </x:row>
    <x:row r="41" ht="21" customHeight="1">
      <x:c r="A41" s="325" t="n">
        <x:v>2026</x:v>
      </x:c>
      <x:c r="B41" s="326" t="str">
        <x:v>Actual</x:v>
      </x:c>
      <x:c r="C41" s="327" t="n">
        <x:v>0.062</x:v>
      </x:c>
      <x:c r="D41" s="328" t="n">
        <x:v>184500</x:v>
      </x:c>
      <x:c r="E41" s="328" t="n">
        <x:f>'GS Source'!J31</x:f>
        <x:v>89508</x:v>
      </x:c>
      <x:c r="F41" s="328" t="n">
        <x:f>'GS Source'!K31</x:f>
        <x:v>85569.648</x:v>
      </x:c>
      <x:c r="G41" s="328" t="n">
        <x:f>MIN(E41,D41)*C41</x:f>
        <x:v>5549.496</x:v>
      </x:c>
      <x:c r="H41" s="328" t="n">
        <x:f>F41-G41</x:f>
        <x:v>80020.152</x:v>
      </x:c>
      <x:c r="I41" s="328" t="n">
        <x:f>'GS Source'!T31</x:f>
        <x:v>192331</x:v>
      </x:c>
      <x:c r="J41" s="328" t="n">
        <x:f>MIN(I41,D41)*C41</x:f>
        <x:v>11439</x:v>
      </x:c>
      <x:c r="K41" s="328" t="n">
        <x:f>MAX(0,I41-D41)</x:f>
        <x:v>7831</x:v>
      </x:c>
      <x:c r="L41" s="328" t="n">
        <x:f>K41*C41</x:f>
        <x:v>485.522</x:v>
      </x:c>
      <x:c r="M41" s="328" t="n">
        <x:f>'Military Detail'!G158</x:f>
        <x:v>92844</x:v>
      </x:c>
      <x:c r="N41" s="328" t="n">
        <x:f>'Military Detail'!M158</x:f>
        <x:v>125117.76</x:v>
      </x:c>
      <x:c r="O41" s="328" t="n">
        <x:f>MIN(M41,D41)*C41</x:f>
        <x:v>5756.3279999999995</x:v>
      </x:c>
      <x:c r="P41" s="329" t="n">
        <x:f>N41-O41</x:f>
        <x:v>119361.432</x:v>
      </x:c>
    </x:row>
    <x:row r="42" ht="21" customHeight="1">
      <x:c r="A42" s="499" t="str">
        <x:v>2027F</x:v>
      </x:c>
      <x:c r="B42" s="499" t="str">
        <x:v>Forecast</x:v>
      </x:c>
      <x:c r="C42" s="500" t="n">
        <x:v>0.062</x:v>
      </x:c>
      <x:c r="D42" s="501" t="n">
        <x:v>190200</x:v>
      </x:c>
      <x:c r="E42" s="501" t="n">
        <x:f>'GS Source'!J32</x:f>
        <x:v>89508</x:v>
      </x:c>
      <x:c r="F42" s="501" t="n">
        <x:f>'GS Source'!K32</x:f>
        <x:v>85569.648</x:v>
      </x:c>
      <x:c r="G42" s="501" t="n">
        <x:f>MIN(E42,D42)*C42</x:f>
        <x:v>5549.496</x:v>
      </x:c>
      <x:c r="H42" s="501" t="n">
        <x:f>F42-G42</x:f>
        <x:v>80020.152</x:v>
      </x:c>
      <x:c r="I42" s="501" t="n">
        <x:f>'GS Source'!T32</x:f>
        <x:v>192331</x:v>
      </x:c>
      <x:c r="J42" s="501" t="n">
        <x:f>MIN(I42,D42)*C42</x:f>
        <x:v>11792.4</x:v>
      </x:c>
      <x:c r="K42" s="501" t="n">
        <x:f>MAX(0,I42-D42)</x:f>
        <x:v>2131</x:v>
      </x:c>
      <x:c r="L42" s="501" t="n">
        <x:f>K42*C42</x:f>
        <x:v>132.12199999999999</x:v>
      </x:c>
      <x:c r="M42" s="501" t="n">
        <x:f>'Military Detail'!G164</x:f>
        <x:v>98414.64000000001</x:v>
      </x:c>
      <x:c r="N42" s="501" t="n">
        <x:f>'Military Detail'!M164</x:f>
        <x:v>130688.40000000001</x:v>
      </x:c>
      <x:c r="O42" s="501" t="n">
        <x:f>MIN(M42,D42)*C42</x:f>
        <x:v>6101.70768</x:v>
      </x:c>
      <x:c r="P42" s="501" t="n">
        <x:f>N42-O42</x:f>
        <x:v>124586.69232</x:v>
      </x:c>
    </x:row>
    <x:row r="43">
      <x:c r="A43" s="308"/>
      <x:c r="B43" s="308"/>
      <x:c r="C43" s="308"/>
      <x:c r="D43" s="308"/>
      <x:c r="E43" s="308"/>
      <x:c r="F43" s="308"/>
      <x:c r="G43" s="308"/>
      <x:c r="H43" s="308"/>
      <x:c r="I43" s="308"/>
      <x:c r="J43" s="308"/>
      <x:c r="K43" s="308"/>
      <x:c r="L43" s="308"/>
      <x:c r="M43" s="308"/>
      <x:c r="N43" s="308"/>
      <x:c r="O43" s="308"/>
      <x:c r="P43" s="308"/>
    </x:row>
    <x:row r="44" ht="38" customHeight="1">
      <x:c r="A44" s="502" t="str">
        <x:v>2027F note: the $190,200 taxable maximum is a transparent model forecast derived from the SSA Trustees Report intermediate projected Average Wage Index and the statutory wage-base formula. It is not an announced final 2027 amount. Medicare tax is not modeled here.</x:v>
      </x:c>
      <x:c r="B44" s="503"/>
      <x:c r="C44" s="503"/>
      <x:c r="D44" s="503"/>
      <x:c r="E44" s="503"/>
      <x:c r="F44" s="503"/>
      <x:c r="G44" s="503"/>
      <x:c r="H44" s="503"/>
      <x:c r="I44" s="503"/>
      <x:c r="J44" s="503"/>
      <x:c r="K44" s="503"/>
      <x:c r="L44" s="503"/>
      <x:c r="M44" s="503"/>
      <x:c r="N44" s="503"/>
      <x:c r="O44" s="503"/>
      <x:c r="P44" s="504"/>
    </x:row>
  </x:sheetData>
  <x:mergeCells>
    <x:mergeCell ref="A1:P1"/>
    <x:mergeCell ref="A2:P2"/>
    <x:mergeCell ref="A4:P4"/>
    <x:mergeCell ref="F6:J6"/>
    <x:mergeCell ref="A44:P44"/>
  </x:mergeCells>
  <x:conditionalFormatting sqref="A16:P42">
    <x:cfRule type="expression" dxfId="4" priority="1">
      <x:formula>MOD(ROW(),2)=0</x:formula>
    </x:cfRule>
    <x:cfRule type="expression" dxfId="5" priority="2">
      <x:formula>MOD(ROW(),2)=0</x:formula>
    </x:cfRule>
    <x:cfRule type="expression" dxfId="6" priority="3">
      <x:formula>MOD(ROW(),2)=0</x:formula>
    </x:cfRule>
  </x:conditionalFormatting>
  <x:pageMargins left="0.7" right="0.7" top="0.75" bottom="0.75" header="0.3" footer="0.3"/>
</x:worksheet>
</file>